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копия\экономист1\DOCUMENT\2024\прайс на отправку\"/>
    </mc:Choice>
  </mc:AlternateContent>
  <xr:revisionPtr revIDLastSave="0" documentId="8_{E5EBCB1C-CD59-4264-9975-D3DBFA1472CA}" xr6:coauthVersionLast="47" xr6:coauthVersionMax="47" xr10:uidLastSave="{00000000-0000-0000-0000-000000000000}"/>
  <bookViews>
    <workbookView xWindow="-120" yWindow="-120" windowWidth="20730" windowHeight="11160" xr2:uid="{15E4F511-1D65-47F9-A2AA-9E781C5DFD39}"/>
  </bookViews>
  <sheets>
    <sheet name="прейс 01 июля_2016" sheetId="1" r:id="rId1"/>
  </sheets>
  <externalReferences>
    <externalReference r:id="rId2"/>
  </externalReferences>
  <definedNames>
    <definedName name="_xlnm.Print_Titles" localSheetId="0">'прейс 01 июля_2016'!$14:$15</definedName>
    <definedName name="_xlnm.Print_Area" localSheetId="0">'прейс 01 июля_2016'!$A$1:$I$268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4" i="1" l="1"/>
  <c r="G259" i="1"/>
  <c r="B259" i="1"/>
  <c r="G254" i="1"/>
  <c r="B254" i="1"/>
  <c r="G249" i="1"/>
  <c r="B249" i="1"/>
  <c r="G244" i="1"/>
  <c r="B244" i="1"/>
  <c r="B243" i="1"/>
  <c r="G241" i="1"/>
  <c r="B241" i="1"/>
  <c r="G240" i="1"/>
  <c r="B240" i="1"/>
  <c r="G239" i="1"/>
  <c r="B239" i="1"/>
  <c r="G238" i="1"/>
  <c r="B238" i="1"/>
  <c r="G237" i="1"/>
  <c r="B237" i="1"/>
  <c r="G236" i="1"/>
  <c r="B236" i="1"/>
  <c r="B235" i="1"/>
  <c r="G234" i="1"/>
  <c r="B234" i="1"/>
  <c r="G233" i="1"/>
  <c r="B233" i="1"/>
  <c r="G232" i="1"/>
  <c r="B232" i="1"/>
  <c r="B231" i="1"/>
  <c r="G230" i="1"/>
  <c r="B230" i="1"/>
  <c r="G229" i="1"/>
  <c r="B229" i="1"/>
  <c r="G228" i="1"/>
  <c r="B228" i="1"/>
  <c r="B227" i="1"/>
  <c r="B226" i="1"/>
  <c r="G221" i="1"/>
  <c r="C221" i="1"/>
  <c r="B221" i="1"/>
  <c r="G215" i="1"/>
  <c r="C215" i="1"/>
  <c r="B215" i="1"/>
  <c r="G209" i="1"/>
  <c r="C209" i="1"/>
  <c r="B209" i="1"/>
  <c r="G205" i="1"/>
  <c r="C205" i="1"/>
  <c r="B205" i="1"/>
  <c r="G202" i="1"/>
  <c r="C202" i="1"/>
  <c r="B202" i="1"/>
  <c r="G199" i="1"/>
  <c r="C199" i="1"/>
  <c r="B199" i="1"/>
  <c r="G196" i="1"/>
  <c r="B196" i="1"/>
  <c r="G193" i="1"/>
  <c r="C193" i="1"/>
  <c r="B193" i="1"/>
  <c r="B192" i="1"/>
  <c r="G191" i="1"/>
  <c r="C191" i="1"/>
  <c r="B191" i="1"/>
  <c r="G190" i="1"/>
  <c r="C190" i="1"/>
  <c r="B190" i="1"/>
  <c r="G189" i="1"/>
  <c r="C189" i="1"/>
  <c r="B189" i="1"/>
  <c r="G188" i="1"/>
  <c r="B188" i="1"/>
  <c r="G187" i="1"/>
  <c r="B187" i="1"/>
  <c r="B182" i="1"/>
  <c r="G177" i="1"/>
  <c r="B177" i="1"/>
  <c r="G176" i="1"/>
  <c r="B176" i="1"/>
  <c r="G175" i="1"/>
  <c r="B175" i="1"/>
  <c r="G174" i="1"/>
  <c r="B174" i="1"/>
  <c r="G173" i="1"/>
  <c r="B173" i="1"/>
  <c r="G172" i="1"/>
  <c r="B172" i="1"/>
  <c r="G171" i="1"/>
  <c r="B171" i="1"/>
  <c r="G167" i="1"/>
  <c r="B167" i="1"/>
  <c r="G164" i="1"/>
  <c r="B164" i="1"/>
  <c r="G163" i="1"/>
  <c r="E163" i="1"/>
  <c r="D163" i="1"/>
  <c r="B163" i="1"/>
  <c r="G157" i="1"/>
  <c r="E157" i="1"/>
  <c r="D157" i="1"/>
  <c r="B157" i="1"/>
  <c r="G155" i="1"/>
  <c r="E155" i="1"/>
  <c r="D155" i="1"/>
  <c r="B155" i="1"/>
  <c r="G152" i="1"/>
  <c r="E152" i="1"/>
  <c r="D152" i="1"/>
  <c r="B152" i="1"/>
  <c r="G150" i="1"/>
  <c r="E150" i="1"/>
  <c r="D150" i="1"/>
  <c r="B150" i="1"/>
  <c r="G149" i="1"/>
  <c r="E149" i="1"/>
  <c r="D149" i="1"/>
  <c r="C149" i="1"/>
  <c r="B149" i="1"/>
  <c r="G148" i="1"/>
  <c r="E148" i="1"/>
  <c r="D148" i="1"/>
  <c r="C148" i="1"/>
  <c r="B148" i="1"/>
  <c r="G145" i="1"/>
  <c r="E145" i="1"/>
  <c r="D145" i="1"/>
  <c r="B145" i="1"/>
  <c r="G141" i="1"/>
  <c r="E141" i="1"/>
  <c r="D141" i="1"/>
  <c r="B141" i="1"/>
  <c r="G139" i="1"/>
  <c r="E139" i="1"/>
  <c r="D139" i="1"/>
  <c r="C139" i="1"/>
  <c r="B139" i="1"/>
  <c r="G137" i="1"/>
  <c r="E137" i="1"/>
  <c r="D137" i="1"/>
  <c r="C137" i="1"/>
  <c r="B137" i="1"/>
  <c r="C136" i="1"/>
  <c r="G135" i="1"/>
  <c r="E135" i="1"/>
  <c r="D135" i="1"/>
  <c r="B135" i="1"/>
  <c r="C134" i="1"/>
  <c r="G133" i="1"/>
  <c r="E133" i="1"/>
  <c r="D133" i="1"/>
  <c r="C133" i="1"/>
  <c r="B133" i="1"/>
  <c r="C132" i="1"/>
  <c r="G131" i="1"/>
  <c r="E131" i="1"/>
  <c r="D131" i="1"/>
  <c r="B131" i="1"/>
  <c r="C130" i="1"/>
  <c r="G129" i="1"/>
  <c r="E129" i="1"/>
  <c r="D129" i="1"/>
  <c r="C129" i="1"/>
  <c r="B129" i="1"/>
  <c r="C128" i="1"/>
  <c r="G127" i="1"/>
  <c r="E127" i="1"/>
  <c r="D127" i="1"/>
  <c r="B127" i="1"/>
  <c r="G126" i="1"/>
  <c r="E126" i="1"/>
  <c r="D126" i="1"/>
  <c r="C126" i="1"/>
  <c r="B126" i="1"/>
  <c r="G125" i="1"/>
  <c r="E125" i="1"/>
  <c r="D125" i="1"/>
  <c r="K125" i="1" s="1"/>
  <c r="C125" i="1"/>
  <c r="B125" i="1"/>
  <c r="G124" i="1"/>
  <c r="E124" i="1"/>
  <c r="D124" i="1"/>
  <c r="K124" i="1" s="1"/>
  <c r="C124" i="1"/>
  <c r="B124" i="1"/>
  <c r="K123" i="1"/>
  <c r="K122" i="1"/>
  <c r="N121" i="1"/>
  <c r="G121" i="1"/>
  <c r="E121" i="1"/>
  <c r="D121" i="1"/>
  <c r="K121" i="1" s="1"/>
  <c r="C121" i="1"/>
  <c r="B121" i="1"/>
  <c r="G120" i="1"/>
  <c r="E120" i="1"/>
  <c r="D120" i="1"/>
  <c r="K120" i="1" s="1"/>
  <c r="C120" i="1"/>
  <c r="B120" i="1"/>
  <c r="K119" i="1"/>
  <c r="K118" i="1"/>
  <c r="G117" i="1"/>
  <c r="E117" i="1"/>
  <c r="D117" i="1"/>
  <c r="K117" i="1" s="1"/>
  <c r="C117" i="1"/>
  <c r="B117" i="1"/>
  <c r="K116" i="1"/>
  <c r="K115" i="1"/>
  <c r="K114" i="1"/>
  <c r="G113" i="1"/>
  <c r="E113" i="1"/>
  <c r="D113" i="1"/>
  <c r="K113" i="1" s="1"/>
  <c r="C113" i="1"/>
  <c r="B113" i="1"/>
  <c r="G112" i="1"/>
  <c r="E112" i="1"/>
  <c r="D112" i="1"/>
  <c r="K112" i="1" s="1"/>
  <c r="C112" i="1"/>
  <c r="B112" i="1"/>
  <c r="K111" i="1"/>
  <c r="G110" i="1"/>
  <c r="E110" i="1"/>
  <c r="D110" i="1"/>
  <c r="K110" i="1" s="1"/>
  <c r="C110" i="1"/>
  <c r="B110" i="1"/>
  <c r="K109" i="1"/>
  <c r="K108" i="1"/>
  <c r="G107" i="1"/>
  <c r="E107" i="1"/>
  <c r="D107" i="1"/>
  <c r="K107" i="1" s="1"/>
  <c r="C107" i="1"/>
  <c r="B107" i="1"/>
  <c r="K106" i="1"/>
  <c r="K105" i="1"/>
  <c r="G104" i="1"/>
  <c r="E104" i="1"/>
  <c r="D104" i="1"/>
  <c r="K104" i="1" s="1"/>
  <c r="C104" i="1"/>
  <c r="B104" i="1"/>
  <c r="K103" i="1"/>
  <c r="K102" i="1"/>
  <c r="G101" i="1"/>
  <c r="E101" i="1"/>
  <c r="D101" i="1"/>
  <c r="K101" i="1" s="1"/>
  <c r="C101" i="1"/>
  <c r="B101" i="1"/>
  <c r="K100" i="1"/>
  <c r="K99" i="1"/>
  <c r="K98" i="1"/>
  <c r="K97" i="1"/>
  <c r="G97" i="1"/>
  <c r="E97" i="1"/>
  <c r="D97" i="1"/>
  <c r="C97" i="1"/>
  <c r="B97" i="1"/>
  <c r="K96" i="1"/>
  <c r="K95" i="1"/>
  <c r="K94" i="1"/>
  <c r="K93" i="1"/>
  <c r="G92" i="1"/>
  <c r="E92" i="1"/>
  <c r="D92" i="1"/>
  <c r="K92" i="1" s="1"/>
  <c r="C92" i="1"/>
  <c r="B92" i="1"/>
  <c r="K91" i="1"/>
  <c r="K90" i="1"/>
  <c r="K89" i="1"/>
  <c r="K88" i="1"/>
  <c r="G87" i="1"/>
  <c r="E87" i="1"/>
  <c r="D87" i="1"/>
  <c r="K87" i="1" s="1"/>
  <c r="C87" i="1"/>
  <c r="B87" i="1"/>
  <c r="K86" i="1"/>
  <c r="K85" i="1"/>
  <c r="K84" i="1"/>
  <c r="K83" i="1"/>
  <c r="K82" i="1"/>
  <c r="G82" i="1"/>
  <c r="E82" i="1"/>
  <c r="D82" i="1"/>
  <c r="C82" i="1"/>
  <c r="B82" i="1"/>
  <c r="K81" i="1"/>
  <c r="K80" i="1"/>
  <c r="K79" i="1"/>
  <c r="K78" i="1"/>
  <c r="K77" i="1"/>
  <c r="G77" i="1"/>
  <c r="E77" i="1"/>
  <c r="D77" i="1"/>
  <c r="C77" i="1"/>
  <c r="B77" i="1"/>
  <c r="K76" i="1"/>
  <c r="K75" i="1"/>
  <c r="G75" i="1"/>
  <c r="E75" i="1"/>
  <c r="D75" i="1"/>
  <c r="C75" i="1"/>
  <c r="B75" i="1"/>
  <c r="G74" i="1"/>
  <c r="E74" i="1"/>
  <c r="D74" i="1"/>
  <c r="K74" i="1" s="1"/>
  <c r="C74" i="1"/>
  <c r="B74" i="1"/>
  <c r="K73" i="1"/>
  <c r="G73" i="1"/>
  <c r="E73" i="1"/>
  <c r="D73" i="1"/>
  <c r="C73" i="1"/>
  <c r="B73" i="1"/>
  <c r="K72" i="1"/>
  <c r="K71" i="1"/>
  <c r="G70" i="1"/>
  <c r="E70" i="1"/>
  <c r="D70" i="1"/>
  <c r="K70" i="1" s="1"/>
  <c r="C70" i="1"/>
  <c r="B70" i="1"/>
  <c r="K69" i="1"/>
  <c r="G68" i="1"/>
  <c r="E68" i="1"/>
  <c r="D68" i="1"/>
  <c r="K68" i="1" s="1"/>
  <c r="C68" i="1"/>
  <c r="B68" i="1"/>
  <c r="K67" i="1"/>
  <c r="K66" i="1"/>
  <c r="K65" i="1"/>
  <c r="G64" i="1"/>
  <c r="E64" i="1"/>
  <c r="D64" i="1"/>
  <c r="K64" i="1" s="1"/>
  <c r="C64" i="1"/>
  <c r="B64" i="1"/>
  <c r="K63" i="1"/>
  <c r="G63" i="1"/>
  <c r="E63" i="1"/>
  <c r="D63" i="1"/>
  <c r="C63" i="1"/>
  <c r="B63" i="1"/>
  <c r="G62" i="1"/>
  <c r="E62" i="1"/>
  <c r="D62" i="1"/>
  <c r="K62" i="1" s="1"/>
  <c r="C62" i="1"/>
  <c r="B62" i="1"/>
  <c r="K61" i="1"/>
  <c r="G61" i="1"/>
  <c r="E61" i="1"/>
  <c r="D61" i="1"/>
  <c r="C61" i="1"/>
  <c r="B61" i="1"/>
  <c r="K60" i="1"/>
  <c r="K59" i="1"/>
  <c r="G58" i="1"/>
  <c r="E58" i="1"/>
  <c r="D58" i="1"/>
  <c r="K58" i="1" s="1"/>
  <c r="C58" i="1"/>
  <c r="B58" i="1"/>
  <c r="K57" i="1"/>
  <c r="K56" i="1"/>
  <c r="K55" i="1"/>
  <c r="G55" i="1"/>
  <c r="E55" i="1"/>
  <c r="D55" i="1"/>
  <c r="C55" i="1"/>
  <c r="B55" i="1"/>
  <c r="K54" i="1"/>
  <c r="K53" i="1"/>
  <c r="G52" i="1"/>
  <c r="E52" i="1"/>
  <c r="D52" i="1"/>
  <c r="K52" i="1" s="1"/>
  <c r="C52" i="1"/>
  <c r="B52" i="1"/>
  <c r="K51" i="1"/>
  <c r="G51" i="1"/>
  <c r="E51" i="1"/>
  <c r="D51" i="1"/>
  <c r="C51" i="1"/>
  <c r="B51" i="1"/>
  <c r="G50" i="1"/>
  <c r="E50" i="1"/>
  <c r="D50" i="1"/>
  <c r="K50" i="1" s="1"/>
  <c r="C50" i="1"/>
  <c r="B50" i="1"/>
  <c r="K49" i="1"/>
  <c r="K48" i="1"/>
  <c r="K47" i="1"/>
  <c r="G47" i="1"/>
  <c r="E47" i="1"/>
  <c r="D47" i="1"/>
  <c r="C47" i="1"/>
  <c r="B47" i="1"/>
  <c r="G46" i="1"/>
  <c r="E46" i="1"/>
  <c r="D46" i="1"/>
  <c r="K46" i="1" s="1"/>
  <c r="B46" i="1"/>
  <c r="K45" i="1"/>
  <c r="G45" i="1"/>
  <c r="E45" i="1"/>
  <c r="D45" i="1"/>
  <c r="B45" i="1"/>
  <c r="K44" i="1"/>
  <c r="G44" i="1"/>
  <c r="E44" i="1"/>
  <c r="D44" i="1"/>
  <c r="B44" i="1"/>
  <c r="G43" i="1"/>
  <c r="E43" i="1"/>
  <c r="D43" i="1"/>
  <c r="K43" i="1" s="1"/>
  <c r="B43" i="1"/>
  <c r="G42" i="1"/>
  <c r="E42" i="1"/>
  <c r="D42" i="1"/>
  <c r="K42" i="1" s="1"/>
  <c r="B42" i="1"/>
  <c r="K41" i="1"/>
  <c r="G41" i="1"/>
  <c r="E41" i="1"/>
  <c r="D41" i="1"/>
  <c r="B41" i="1"/>
  <c r="K40" i="1"/>
  <c r="G40" i="1"/>
  <c r="E40" i="1"/>
  <c r="D40" i="1"/>
  <c r="B40" i="1"/>
  <c r="G39" i="1"/>
  <c r="E39" i="1"/>
  <c r="D39" i="1"/>
  <c r="K39" i="1" s="1"/>
  <c r="B39" i="1"/>
  <c r="G38" i="1"/>
  <c r="E38" i="1"/>
  <c r="D38" i="1"/>
  <c r="K38" i="1" s="1"/>
  <c r="B38" i="1"/>
  <c r="K37" i="1"/>
  <c r="G37" i="1"/>
  <c r="E37" i="1"/>
  <c r="D37" i="1"/>
  <c r="B37" i="1"/>
  <c r="K36" i="1"/>
  <c r="G36" i="1"/>
  <c r="E36" i="1"/>
  <c r="D36" i="1"/>
  <c r="B36" i="1"/>
  <c r="G35" i="1"/>
  <c r="E35" i="1"/>
  <c r="D35" i="1"/>
  <c r="K35" i="1" s="1"/>
  <c r="B35" i="1"/>
  <c r="G34" i="1"/>
  <c r="E34" i="1"/>
  <c r="D34" i="1"/>
  <c r="K34" i="1" s="1"/>
  <c r="B34" i="1"/>
  <c r="K33" i="1"/>
  <c r="G33" i="1"/>
  <c r="E33" i="1"/>
  <c r="D33" i="1"/>
  <c r="B33" i="1"/>
  <c r="K32" i="1"/>
  <c r="G32" i="1"/>
  <c r="E32" i="1"/>
  <c r="D32" i="1"/>
  <c r="B32" i="1"/>
  <c r="G31" i="1"/>
  <c r="E31" i="1"/>
  <c r="D31" i="1"/>
  <c r="K31" i="1" s="1"/>
  <c r="B31" i="1"/>
  <c r="G30" i="1"/>
  <c r="E30" i="1"/>
  <c r="D30" i="1"/>
  <c r="K30" i="1" s="1"/>
  <c r="B30" i="1"/>
  <c r="K29" i="1"/>
  <c r="G29" i="1"/>
  <c r="E29" i="1"/>
  <c r="D29" i="1"/>
  <c r="B29" i="1"/>
  <c r="K28" i="1"/>
  <c r="G28" i="1"/>
  <c r="E28" i="1"/>
  <c r="D28" i="1"/>
  <c r="B28" i="1"/>
  <c r="G27" i="1"/>
  <c r="E27" i="1"/>
  <c r="D27" i="1"/>
  <c r="K27" i="1" s="1"/>
  <c r="B27" i="1"/>
  <c r="G26" i="1"/>
  <c r="E26" i="1"/>
  <c r="D26" i="1"/>
  <c r="K26" i="1" s="1"/>
  <c r="B26" i="1"/>
  <c r="L25" i="1"/>
  <c r="K25" i="1"/>
  <c r="G25" i="1"/>
  <c r="E25" i="1"/>
  <c r="D25" i="1"/>
  <c r="B25" i="1"/>
  <c r="G24" i="1"/>
  <c r="E24" i="1"/>
  <c r="D24" i="1"/>
  <c r="K24" i="1" s="1"/>
  <c r="B24" i="1"/>
  <c r="G23" i="1"/>
  <c r="E23" i="1"/>
  <c r="D23" i="1"/>
  <c r="K23" i="1" s="1"/>
  <c r="B23" i="1"/>
  <c r="K22" i="1"/>
  <c r="G22" i="1"/>
  <c r="E22" i="1"/>
  <c r="D22" i="1"/>
  <c r="B22" i="1"/>
  <c r="K21" i="1"/>
  <c r="G21" i="1"/>
  <c r="E21" i="1"/>
  <c r="D21" i="1"/>
  <c r="B21" i="1"/>
  <c r="G20" i="1"/>
  <c r="E20" i="1"/>
  <c r="D20" i="1"/>
  <c r="K20" i="1" s="1"/>
  <c r="B20" i="1"/>
  <c r="G19" i="1"/>
  <c r="E19" i="1"/>
  <c r="D19" i="1"/>
  <c r="K19" i="1" s="1"/>
  <c r="B19" i="1"/>
  <c r="K18" i="1"/>
  <c r="G18" i="1"/>
  <c r="E18" i="1"/>
  <c r="D18" i="1"/>
  <c r="B18" i="1"/>
  <c r="K17" i="1"/>
  <c r="G17" i="1"/>
  <c r="E17" i="1"/>
  <c r="D17" i="1"/>
  <c r="B17" i="1"/>
  <c r="L16" i="1"/>
  <c r="K16" i="1"/>
  <c r="G16" i="1"/>
  <c r="E16" i="1"/>
  <c r="D16" i="1"/>
  <c r="B16" i="1"/>
</calcChain>
</file>

<file path=xl/sharedStrings.xml><?xml version="1.0" encoding="utf-8"?>
<sst xmlns="http://schemas.openxmlformats.org/spreadsheetml/2006/main" count="555" uniqueCount="314">
  <si>
    <t xml:space="preserve"> </t>
  </si>
  <si>
    <t xml:space="preserve"> УТВЕРЖДАЮ</t>
  </si>
  <si>
    <t xml:space="preserve">Зам. директора УП "Червенское ЖКХ" </t>
  </si>
  <si>
    <t>_____________________ О.А. Лукьянов</t>
  </si>
  <si>
    <t>16  января  2023г.</t>
  </si>
  <si>
    <t>ПРЕЙСКУРАНТ  ЖЭУ</t>
  </si>
  <si>
    <t>тарифов на ремонтно-строительные работы по заказам населения</t>
  </si>
  <si>
    <t>УП "ЧЕРВЕНСКОЕ ЖКХ"</t>
  </si>
  <si>
    <t>с 16  января 2023г</t>
  </si>
  <si>
    <t>№ п/п</t>
  </si>
  <si>
    <t>Виды работ</t>
  </si>
  <si>
    <t>Ед. изм.</t>
  </si>
  <si>
    <t>Тариф без НДС</t>
  </si>
  <si>
    <t>Тариф (цена) без НДС</t>
  </si>
  <si>
    <t>Тариф (цена) с НДС</t>
  </si>
  <si>
    <t>Состав работ</t>
  </si>
  <si>
    <t>Шифр</t>
  </si>
  <si>
    <t>прибор  компл.</t>
  </si>
  <si>
    <t>Снятие старого замка (шпингалета). Долбление гнёзд. Установка и крепление нового замка (или шпингалета).</t>
  </si>
  <si>
    <t xml:space="preserve"> 3-29 </t>
  </si>
  <si>
    <r>
      <t>м</t>
    </r>
    <r>
      <rPr>
        <vertAlign val="superscript"/>
        <sz val="12"/>
        <rFont val="Times New Roman"/>
        <family val="1"/>
        <charset val="204"/>
      </rPr>
      <t>2</t>
    </r>
  </si>
  <si>
    <t>Нарезка и прирезка стёкол. Промазка фальцев силиконовым клеем. Вставка стёкол с укреплением.</t>
  </si>
  <si>
    <t xml:space="preserve"> 7-3 </t>
  </si>
  <si>
    <t xml:space="preserve"> 7-4 </t>
  </si>
  <si>
    <t>Снятие замазки, шпилек, или штапиков. Выемка стекол. Очистка фальцев.</t>
  </si>
  <si>
    <t xml:space="preserve"> 7-12</t>
  </si>
  <si>
    <r>
      <t>м</t>
    </r>
    <r>
      <rPr>
        <vertAlign val="superscript"/>
        <sz val="12"/>
        <rFont val="Times New Roman"/>
        <family val="1"/>
        <charset val="204"/>
      </rPr>
      <t>2</t>
    </r>
    <r>
      <rPr>
        <sz val="10"/>
        <rFont val="Arial Cyr"/>
        <charset val="204"/>
      </rPr>
      <t/>
    </r>
  </si>
  <si>
    <t xml:space="preserve"> 7-13</t>
  </si>
  <si>
    <t xml:space="preserve"> 7-15</t>
  </si>
  <si>
    <t xml:space="preserve"> 7-16</t>
  </si>
  <si>
    <t>секция</t>
  </si>
  <si>
    <t>Отсоединение секций. Прочистка и промывка секций. Перегруппировка или замена секций с присоединением на новых прокладках.</t>
  </si>
  <si>
    <t xml:space="preserve"> 9-17</t>
  </si>
  <si>
    <t xml:space="preserve">Вывертывание радиаторной пробки. Прочистка и промывка секций. Присоединение секций с ввертыванием радиаторной пробки.  </t>
  </si>
  <si>
    <t xml:space="preserve"> 9-18</t>
  </si>
  <si>
    <t>прибор</t>
  </si>
  <si>
    <t xml:space="preserve">Откручивание резьбовых соединений. Установка нового отопительного прибора. </t>
  </si>
  <si>
    <t xml:space="preserve"> 9-30</t>
  </si>
  <si>
    <t xml:space="preserve">Отсоединение старого прибора. Установка нового прибора с креплением и присоединение к системе. </t>
  </si>
  <si>
    <t xml:space="preserve"> 10-25</t>
  </si>
  <si>
    <t xml:space="preserve"> 10-26</t>
  </si>
  <si>
    <t xml:space="preserve"> 10-28</t>
  </si>
  <si>
    <t>шт. компл.</t>
  </si>
  <si>
    <t>Снятие старого смесителя. Установка нового смесителя.</t>
  </si>
  <si>
    <t xml:space="preserve"> 10-39</t>
  </si>
  <si>
    <t>Ремонт и регулировка поплавкового и смывного клапанов с прочисткой, промывкой и заменой резиновых деталей.</t>
  </si>
  <si>
    <t xml:space="preserve"> 10-42</t>
  </si>
  <si>
    <t>Регулировка клапанов смывного бочка на месте.</t>
  </si>
  <si>
    <t xml:space="preserve"> 10-43</t>
  </si>
  <si>
    <t>м</t>
  </si>
  <si>
    <t xml:space="preserve">Прочистка подводки трубопровода до стояка или участка трубопровода от одной ревизии до другой. Прочистка трубопровода. </t>
  </si>
  <si>
    <t xml:space="preserve"> 10-48</t>
  </si>
  <si>
    <t>шт.</t>
  </si>
  <si>
    <t xml:space="preserve">Откручивание вентильной головки. Снятие старой и  установка новой прокладки. Крепление прокладки. Закрепление прокладки к вентильной головке. Закручивание вентильной головки.  </t>
  </si>
  <si>
    <t xml:space="preserve"> 10-50</t>
  </si>
  <si>
    <t xml:space="preserve">Отсоединение сифона от выпуска ванны и переливного патрубка. Расчеканка патрубка, сифона. Подсоединение сифона к выпуску ванны и зачеканка патрубка.  </t>
  </si>
  <si>
    <t xml:space="preserve"> 10-54</t>
  </si>
  <si>
    <t>Откручивание гибкой подводки от вентиля и поплавкового клапана бочка. Присоединение новой.</t>
  </si>
  <si>
    <t xml:space="preserve"> 10-55</t>
  </si>
  <si>
    <t>Демонтаж старого унитаза. Установка нового унитаза.</t>
  </si>
  <si>
    <t xml:space="preserve"> 10-74</t>
  </si>
  <si>
    <t xml:space="preserve">Отсоединение старого прибора. Установка нового прибора с креплением и присоединением к системе. </t>
  </si>
  <si>
    <t xml:space="preserve"> 10-85</t>
  </si>
  <si>
    <t xml:space="preserve">Отсоединение смесителя от подводок холодного и горячего водоснабжения. Установка смесителя. </t>
  </si>
  <si>
    <t xml:space="preserve"> 10-92</t>
  </si>
  <si>
    <t>Вырезка подлежащего замене участка трубопровода. Заготовка трубы необходимого диаметра. Очистка торцов кромок и прилегающих к ним участков от грязи, масел, ржавчины. Разделка кромок под сварку. Сварка.</t>
  </si>
  <si>
    <t xml:space="preserve"> 9-31</t>
  </si>
  <si>
    <t xml:space="preserve">Снятие средств крепления. Разборка старых труб. Заготовка новой трубы. Прокладка монтажных узлов из труб с фасонными частями. Установка средств крепления для труб. </t>
  </si>
  <si>
    <t xml:space="preserve"> 10-3</t>
  </si>
  <si>
    <t xml:space="preserve"> 10-5</t>
  </si>
  <si>
    <t xml:space="preserve"> 10-6</t>
  </si>
  <si>
    <t xml:space="preserve">Разметка труб под крепление. Сверление основания под установку хомутов. Установка хомутов. Прокладка труб. Установка компенсаторов. Развальцовка стыков. Соединение труб сваркой. </t>
  </si>
  <si>
    <t xml:space="preserve"> 10-8</t>
  </si>
  <si>
    <t>вентиль</t>
  </si>
  <si>
    <t>Разборка резьбовых соединений под вентиль. Замена вентиля со сборкой резьбовых соединений.</t>
  </si>
  <si>
    <t xml:space="preserve"> 10-12</t>
  </si>
  <si>
    <t>Замена сальниковой набивки. Замена прокладки на золотнике.</t>
  </si>
  <si>
    <t xml:space="preserve"> 10-13</t>
  </si>
  <si>
    <t>Снятие креплений и труб со свёртыванием арматуры и соединительных частей. Установка старых креплений на прежнее место и их заделка. Прокладка трубопроводов. Навёртывание арматуры и соединительных частей.</t>
  </si>
  <si>
    <t xml:space="preserve"> 9-8</t>
  </si>
  <si>
    <t>Расчистка трещен, установка реек на клею  и их зачистка после ремонта.</t>
  </si>
  <si>
    <t xml:space="preserve"> 2-10</t>
  </si>
  <si>
    <t>Пиломатериалы обрезные II с., 50 мм</t>
  </si>
  <si>
    <r>
      <t>м</t>
    </r>
    <r>
      <rPr>
        <vertAlign val="superscript"/>
        <sz val="12"/>
        <rFont val="Times New Roman"/>
        <family val="1"/>
        <charset val="204"/>
      </rPr>
      <t>3</t>
    </r>
  </si>
  <si>
    <t>Клей</t>
  </si>
  <si>
    <t>кг</t>
  </si>
  <si>
    <t xml:space="preserve">Снятие переплётов. Пристрожка створки к фальцам коробки и притвора. Навеска переплётов на прежнее место. </t>
  </si>
  <si>
    <t xml:space="preserve"> 2-6</t>
  </si>
  <si>
    <t>Пристрожка на месте створки к фальцам коробки и притвора.</t>
  </si>
  <si>
    <t xml:space="preserve"> 2-7</t>
  </si>
  <si>
    <t xml:space="preserve"> 2-8</t>
  </si>
  <si>
    <t>Пиломатериалы обрезные II с., 50-60 мм</t>
  </si>
  <si>
    <t>Снятие переплёта. Разборка переплёта с заменой негодных элементов (с их заготовкой). Сборка переплёта на клею, пригонка отремонтированного переплёта. Установка переплёта на прежнее место с закреплением.</t>
  </si>
  <si>
    <t xml:space="preserve"> 2-9</t>
  </si>
  <si>
    <t>Снятие и разборка дверного полотна. Заготовка и постановка брусков с выделкой сопряжений. Заготовка новых филёнок. Сборка дверного полотна на клею. Пригонка и навеска полотна.</t>
  </si>
  <si>
    <t xml:space="preserve"> 3-11</t>
  </si>
  <si>
    <t>Пиломатериалы обрезные II с., 40 мм и более</t>
  </si>
  <si>
    <t>Заготовка планок и установка их в притворе без снятия  дверного полотна. Пристрожка полотна по кромкам.</t>
  </si>
  <si>
    <t xml:space="preserve"> 3-12</t>
  </si>
  <si>
    <t>Снятие подоконной доски с отбивкой штукатурки в откосе.</t>
  </si>
  <si>
    <t xml:space="preserve"> 2-14</t>
  </si>
  <si>
    <t>Снятие подоконной доски.</t>
  </si>
  <si>
    <t xml:space="preserve"> 2-15</t>
  </si>
  <si>
    <t>Установка подоконной доски. Заделка швов цементным раствором. Нанесение полиуретановой пены.</t>
  </si>
  <si>
    <t xml:space="preserve"> 2-17</t>
  </si>
  <si>
    <t>Доска подоконная</t>
  </si>
  <si>
    <t>Пена полиуретановая</t>
  </si>
  <si>
    <t>л</t>
  </si>
  <si>
    <t>Раствор цементный М100</t>
  </si>
  <si>
    <t>Снятие старой ручки. Установка и крепление новой ручки.</t>
  </si>
  <si>
    <t xml:space="preserve"> 3-24</t>
  </si>
  <si>
    <t>Приборы</t>
  </si>
  <si>
    <t>компл.</t>
  </si>
  <si>
    <t>Снятие старого прибора. Долбление гнёзд. Установка и крепление нового прибора.</t>
  </si>
  <si>
    <t xml:space="preserve"> 3-23</t>
  </si>
  <si>
    <t xml:space="preserve">Приборы </t>
  </si>
  <si>
    <t>или петли</t>
  </si>
  <si>
    <t xml:space="preserve"> шт.</t>
  </si>
  <si>
    <t>Отсоединение радиаторных пробок. Ввертывание пробки со шлангом. Присоединение компрессора и шланга к стояку. Продувка. Отсоединение компрессора. Установка пробок.</t>
  </si>
  <si>
    <t xml:space="preserve">  9-20</t>
  </si>
  <si>
    <t xml:space="preserve"> 9-21</t>
  </si>
  <si>
    <t>Разборка соединений заменямего участка. Установка участка трубы из пластмассы (металлопластика).</t>
  </si>
  <si>
    <t xml:space="preserve"> 10-10</t>
  </si>
  <si>
    <t>Трубы пластмассовые (металлопластиковые)</t>
  </si>
  <si>
    <t>Разборка соединений. Установка новых труб с заменой резиновых манжет в раструбных соединениях.</t>
  </si>
  <si>
    <t xml:space="preserve"> 10-11</t>
  </si>
  <si>
    <t xml:space="preserve">Трубы пластмассовые </t>
  </si>
  <si>
    <t>Манжета резиновая</t>
  </si>
  <si>
    <t>по проекту</t>
  </si>
  <si>
    <t>Крепления для трубопроводов</t>
  </si>
  <si>
    <t>Болты</t>
  </si>
  <si>
    <t>Расчеканка и разборка трубопровода и фасонных частей. Прокладка трубопроводов с установкой фасонных частей и с заделкой стыков.</t>
  </si>
  <si>
    <t xml:space="preserve"> 10-20</t>
  </si>
  <si>
    <t>Трубы чугунные</t>
  </si>
  <si>
    <t>Каболка</t>
  </si>
  <si>
    <t>Цемент расширяющийся</t>
  </si>
  <si>
    <t xml:space="preserve"> 10-21</t>
  </si>
  <si>
    <t>Снятие креплений. Расчеканка и разборка трубопровода и фасонных частей. Прокладка трубопроводов с установкой фасонных частей и с заделкой стыков. Установка креплений с пробивкой отверстий.</t>
  </si>
  <si>
    <t xml:space="preserve"> 10-22</t>
  </si>
  <si>
    <t>Отсоелинение прибора. Установка новой детали с присоединением и заделкой раструба.</t>
  </si>
  <si>
    <t xml:space="preserve"> 10-35</t>
  </si>
  <si>
    <t>Сифон</t>
  </si>
  <si>
    <t>Снятие старого крана. Установка нового крана.</t>
  </si>
  <si>
    <t xml:space="preserve"> 10-40</t>
  </si>
  <si>
    <t>Кран водоразборный</t>
  </si>
  <si>
    <t>Льняная прядь</t>
  </si>
  <si>
    <t xml:space="preserve"> 10-37</t>
  </si>
  <si>
    <t>Смеситель</t>
  </si>
  <si>
    <t xml:space="preserve"> 10-38</t>
  </si>
  <si>
    <t>Откручивание и замена вентильной головки.</t>
  </si>
  <si>
    <t xml:space="preserve"> 10-67</t>
  </si>
  <si>
    <t>Вентиль</t>
  </si>
  <si>
    <t>Откручивание сифона. Снятие и прочистка сифона.</t>
  </si>
  <si>
    <t xml:space="preserve"> 10-89</t>
  </si>
  <si>
    <t>Снятие оконной створки. Изготтовление форточки. Врезка горбылька в створку. Установка форточки в створку с пригонкой по месту и врезкой приборов. Навеска створки на место.</t>
  </si>
  <si>
    <t xml:space="preserve"> 2-1</t>
  </si>
  <si>
    <t xml:space="preserve">Пиломатериалы обрезные II с., 40 мм </t>
  </si>
  <si>
    <t>Стекло оконное</t>
  </si>
  <si>
    <t>Приборы форточные (петли, завертка)</t>
  </si>
  <si>
    <t>Снятие старой форточки и петель. Навеска новой готовой форточки с пригонкой по месту и врезкой приборов.</t>
  </si>
  <si>
    <t xml:space="preserve"> 2-2</t>
  </si>
  <si>
    <t>Форточка</t>
  </si>
  <si>
    <t>Частичная разборка вентиляционных каналов (дымоходов). Прочистка вентиляционных каналов (дымоходов). Заделка вентиляционных каналов (дымоходов).</t>
  </si>
  <si>
    <t>Отключение воды по стояку, спуск воды. Врезка в водопроводную трубу. Установка вентиля. Вкручивание сгонов. Установка фильтра. Установка прибора. Установка сгона с муфтой. Наполнение стояка водой.</t>
  </si>
  <si>
    <t xml:space="preserve"> 10 - 52</t>
  </si>
  <si>
    <t>Прибор учёта воды</t>
  </si>
  <si>
    <t xml:space="preserve">шт. </t>
  </si>
  <si>
    <t xml:space="preserve">Вывёртывание радиаторной пробки. Отсоединение секции радиатора. Прочистка и промывка секции. Постановка радиаторной пробки. </t>
  </si>
  <si>
    <t xml:space="preserve"> 9-19</t>
  </si>
  <si>
    <t xml:space="preserve">Снятие прибора. Установка новых уплотнительных колец. Установка нового прибора. Замена уплотнительной шайбы. </t>
  </si>
  <si>
    <t xml:space="preserve"> 10 - 53</t>
  </si>
  <si>
    <t>Проверка на пргрев отопительных приборов с регулировкой</t>
  </si>
  <si>
    <t>9 - 4</t>
  </si>
  <si>
    <t>Разьединение сгона со снятием его с места. Комплектование и соединение нового сгона</t>
  </si>
  <si>
    <t>9 - 5</t>
  </si>
  <si>
    <t>сгон</t>
  </si>
  <si>
    <t>9 - 6</t>
  </si>
  <si>
    <t>Отсоединение старого крана. Присоединение нового крана к трубопроводу.</t>
  </si>
  <si>
    <t>9-10</t>
  </si>
  <si>
    <t>кран, вентиль или клапан</t>
  </si>
  <si>
    <t>Снятие старых кронштейнов под санитарные приборы, Установка новых кронштейнов в ранее установленные пробки</t>
  </si>
  <si>
    <t>9-11</t>
  </si>
  <si>
    <t>кронштейн</t>
  </si>
  <si>
    <t>Вывертывание сторой пробки. Очистка секции от старой пробки. Ввертывание новой пробки на проклодке</t>
  </si>
  <si>
    <t>9-12</t>
  </si>
  <si>
    <t>пробки радиаторные обработанные, глухие или проходные</t>
  </si>
  <si>
    <t>Вытаскивание сальника и старой набивки, Новая набивка сальника. Постановка сальника на место. Притирка пробкового крана.</t>
  </si>
  <si>
    <t>9-15</t>
  </si>
  <si>
    <t>сальниковая набивка</t>
  </si>
  <si>
    <t>Вытаскивание сальника и старой набивки. Новая набивка сальника. Постановка сальника на место. Притирка клапана или смена прокладки клапана.</t>
  </si>
  <si>
    <t>9-16</t>
  </si>
  <si>
    <t>Снятие пробки. Установка футорки. Установка микровоздушника.</t>
  </si>
  <si>
    <t>9-28</t>
  </si>
  <si>
    <t>уплотнительный материал</t>
  </si>
  <si>
    <t>кран для спуска воздуха</t>
  </si>
  <si>
    <t>шт</t>
  </si>
  <si>
    <t>футорка</t>
  </si>
  <si>
    <t>Снятие старого микровоздушника и установка нового</t>
  </si>
  <si>
    <t>9-29</t>
  </si>
  <si>
    <t>Перекрытие вентилей по стояку. В нижней (верхней) части спуск воды. Открытие вентилей по стояку</t>
  </si>
  <si>
    <t>10-14</t>
  </si>
  <si>
    <t>Перекрытие вентилей по стояку. Спуск воды.</t>
  </si>
  <si>
    <t>10-17</t>
  </si>
  <si>
    <t>Снятие старого сидения. Установка новой манжеты</t>
  </si>
  <si>
    <t>10-29</t>
  </si>
  <si>
    <t>сидение к унитазу</t>
  </si>
  <si>
    <t>Снятие старой манжеты. Установка новой манжеты.</t>
  </si>
  <si>
    <t>10-30</t>
  </si>
  <si>
    <t>Проволока стальная</t>
  </si>
  <si>
    <t>Откручивание вентильной головки от корпуса. Установка новой. Проверка в работе.</t>
  </si>
  <si>
    <t>10-51</t>
  </si>
  <si>
    <t>вентильная головка</t>
  </si>
  <si>
    <t>Демонтаж унитаза. Обрезка подводки холодной воды. Сверление отверстий под крепление. Нарезка ресьбы на подводке и установка вентиля или крана. Установка и крепление унитаза. Соединение поплавкового крана бачка с вентелем гибкой проволоки.</t>
  </si>
  <si>
    <t>10-59</t>
  </si>
  <si>
    <t>унитаз "компакт"</t>
  </si>
  <si>
    <t>дюбель</t>
  </si>
  <si>
    <t>каболка</t>
  </si>
  <si>
    <t>цемент расширяющийся</t>
  </si>
  <si>
    <t>льняная прядь</t>
  </si>
  <si>
    <t>фильтр</t>
  </si>
  <si>
    <t>Отсоедтнение фильтрующего элемента. Прочистка его и установка на место</t>
  </si>
  <si>
    <t>10-69</t>
  </si>
  <si>
    <t>м2</t>
  </si>
  <si>
    <t>Нанесение обрызга и грунта. Нанесение накрывочного слоя. Затирка поверхности. Выделка углов и примыканий.</t>
  </si>
  <si>
    <t>2-4</t>
  </si>
  <si>
    <t>Раствор известковый 1:2,5</t>
  </si>
  <si>
    <t>м3</t>
  </si>
  <si>
    <t xml:space="preserve">Цемент </t>
  </si>
  <si>
    <t>Прибивка листов (плит)</t>
  </si>
  <si>
    <t>2-25</t>
  </si>
  <si>
    <t>Фанера или плита</t>
  </si>
  <si>
    <t xml:space="preserve">м2 </t>
  </si>
  <si>
    <t>Гвозди кровельные</t>
  </si>
  <si>
    <t>Раскладки</t>
  </si>
  <si>
    <t>радиатор</t>
  </si>
  <si>
    <t>Отсоединение и снятие прибора</t>
  </si>
  <si>
    <t>2.9.23</t>
  </si>
  <si>
    <t>2.9.24</t>
  </si>
  <si>
    <t>стояк</t>
  </si>
  <si>
    <t>Перекрытие вентеля по стояку. Спкск воды.</t>
  </si>
  <si>
    <t>2.10.18</t>
  </si>
  <si>
    <t>Разбор резьбовых соединений под вентель. Замена вентеля со сборкой резьбовых соединений</t>
  </si>
  <si>
    <t>2.10.49</t>
  </si>
  <si>
    <t xml:space="preserve">Снятие старого смесителя. </t>
  </si>
  <si>
    <t>2.10.199</t>
  </si>
  <si>
    <t>Отсоединение старого прибора</t>
  </si>
  <si>
    <t>2.10.202</t>
  </si>
  <si>
    <t>Установка прибора с креплением и присоединением к системе</t>
  </si>
  <si>
    <t>2.10.203</t>
  </si>
  <si>
    <t>полотенцесушитель</t>
  </si>
  <si>
    <t>шурупы 6 х40 мм</t>
  </si>
  <si>
    <t>дюбель 2,5х48,5 мм</t>
  </si>
  <si>
    <t>Монтаж трубопровода. Гидровлическое испытание трубопровода.</t>
  </si>
  <si>
    <t>2.10.214</t>
  </si>
  <si>
    <t>труба полипропиленовая</t>
  </si>
  <si>
    <t>крепления для трубопроводов</t>
  </si>
  <si>
    <t>арматура муфтовая</t>
  </si>
  <si>
    <t>арматура запорная</t>
  </si>
  <si>
    <t>2.10.214.1</t>
  </si>
  <si>
    <t>2.10.214.2</t>
  </si>
  <si>
    <t>2.10.214.3</t>
  </si>
  <si>
    <t>2.10.214.4</t>
  </si>
  <si>
    <t>2.10.214.5</t>
  </si>
  <si>
    <t>Разметка. Прокладка трубопровода. Гидровлическое испытание трубопровода.</t>
  </si>
  <si>
    <t>2.10.215</t>
  </si>
  <si>
    <t>2.10.215.1</t>
  </si>
  <si>
    <t>крепления</t>
  </si>
  <si>
    <t>2.10.215.2</t>
  </si>
  <si>
    <t>2.10.215.3</t>
  </si>
  <si>
    <t>2.10.215.4</t>
  </si>
  <si>
    <t>При необходимости снятие вставки. Промывка ввода. Установка счетчика на место. Наполнение системы водой, проверка работы счетчика. Опломбирование. Составление и подписывание актов замены счетчика</t>
  </si>
  <si>
    <t>2.10.219</t>
  </si>
  <si>
    <t>прокладка диаметром 15 мм</t>
  </si>
  <si>
    <t>пломба свинцовая</t>
  </si>
  <si>
    <t>проволока диаметром до 0,5 мм</t>
  </si>
  <si>
    <t>2.10.219.1</t>
  </si>
  <si>
    <t>штуцер</t>
  </si>
  <si>
    <t>проклодка диаметром 15 мм</t>
  </si>
  <si>
    <t>2.10.219.2</t>
  </si>
  <si>
    <t>запорно-ренулирующая арматура</t>
  </si>
  <si>
    <t>2.10.219.3</t>
  </si>
  <si>
    <t>100м2</t>
  </si>
  <si>
    <t>Применяемые средства механизации: Газонокосилки ручные типа StihlFS-300, FS-400</t>
  </si>
  <si>
    <t>2.15.40.1</t>
  </si>
  <si>
    <t>2.15.40.2</t>
  </si>
  <si>
    <t>2.15.40.3</t>
  </si>
  <si>
    <t>2.15.40.4</t>
  </si>
  <si>
    <t>2.15.40.5</t>
  </si>
  <si>
    <t>2.15.40.6</t>
  </si>
  <si>
    <t>2.15.40.7</t>
  </si>
  <si>
    <t>2.15.40.8</t>
  </si>
  <si>
    <t>2.15.40.9</t>
  </si>
  <si>
    <t>Отсоединение гайки, отсоединение гофры и установка новой на место</t>
  </si>
  <si>
    <t>2.6.244</t>
  </si>
  <si>
    <t>2.6.246</t>
  </si>
  <si>
    <t>бачек</t>
  </si>
  <si>
    <t>Перекрытие воды. Откручивание гаек, извлечение болтов, снятие смывного бочка. Установка бочка на место. Проверка наличие течи.</t>
  </si>
  <si>
    <t>2.6.249</t>
  </si>
  <si>
    <t>прокладки резиновые</t>
  </si>
  <si>
    <t>Разборка труб. Установка металлопластиковых труб на фитингах. Гидравлическое испытание трубопровода</t>
  </si>
  <si>
    <t>2.6.250</t>
  </si>
  <si>
    <t>2.6.250.1</t>
  </si>
  <si>
    <t>кислород технический</t>
  </si>
  <si>
    <t>ацетилен технический</t>
  </si>
  <si>
    <t>труба металлопластиковая</t>
  </si>
  <si>
    <t>крепления, фитинги для трубопровода</t>
  </si>
  <si>
    <t>2.6.250.2</t>
  </si>
  <si>
    <t>2.6.250.3</t>
  </si>
  <si>
    <t>2.6.250.4</t>
  </si>
  <si>
    <t>Замена терморегулятора на батарее</t>
  </si>
  <si>
    <t>Слив  воды, снятие батареи, замена терморегулятора и установка батареи. Заполнение системы отопления, спуск воздуха и проверка наличия течи.</t>
  </si>
  <si>
    <t>2,70,1</t>
  </si>
  <si>
    <t xml:space="preserve">Экономист УП "Червенское ЖКХ" </t>
  </si>
  <si>
    <t>Д.С. Конопелько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</si>
</sst>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justify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justify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3" fontId="2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justify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" fontId="3" fillId="0" borderId="3" xfId="0" applyNumberFormat="1" applyFont="1" applyBorder="1" applyAlignment="1">
      <alignment horizontal="center"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3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/>
    </xf>
    <xf numFmtId="4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3" xfId="0" applyFont="1" applyBorder="1" applyAlignment="1">
      <alignment horizontal="justify" vertical="center"/>
    </xf>
    <xf numFmtId="3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49" fontId="0" fillId="0" borderId="3" xfId="0" applyNumberForma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justify"/>
    </xf>
    <xf numFmtId="4" fontId="2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2;&#1086;&#1087;&#1080;&#1103;/&#1101;&#1082;&#1086;&#1085;&#1086;&#1084;&#1080;&#1089;&#1090;1/DOCUMENT/2023/&#1087;&#1088;&#1072;&#1081;&#1089;/&#1046;&#1069;&#1059;%20&#1087;&#1083;&#1072;&#1090;&#1085;&#1099;&#1077;%20&#1091;&#1089;&#1083;&#1091;&#1075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йс ноябрь 2009"/>
      <sheetName val="прейс сентября 2009"/>
      <sheetName val="прейс август 2009"/>
      <sheetName val="трава-прейс август"/>
      <sheetName val="трава-прейс июль "/>
      <sheetName val="прейс июль 2009"/>
      <sheetName val="прейс июнь 2009 "/>
      <sheetName val="трава-прейс июнь"/>
      <sheetName val="трава-прейс май"/>
      <sheetName val="трава-прейс апрель"/>
      <sheetName val="прейс май 2009"/>
      <sheetName val="прейс апрель 2009 "/>
      <sheetName val="прейс март 2009"/>
      <sheetName val="прейс декабрь"/>
      <sheetName val="трава-прейс ноябрь"/>
      <sheetName val="прейс ноябрь"/>
      <sheetName val="прейс октябрь"/>
      <sheetName val="трава-прейс октябрь"/>
      <sheetName val="трава-прейс"/>
      <sheetName val="увед10"/>
      <sheetName val="прейс 01 июля_2016"/>
      <sheetName val="расчёт_ОЦТАр"/>
      <sheetName val="Р_ЗПЛ_Т"/>
      <sheetName val="прейс"/>
      <sheetName val="аналоги"/>
      <sheetName val="уве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6">
          <cell r="B16" t="str">
            <v>Смена сувальдных замков (врезных и накладных) или шпингалетов дверных врезных</v>
          </cell>
          <cell r="R16">
            <v>20</v>
          </cell>
        </row>
        <row r="17">
          <cell r="B17" t="str">
            <v>Остекленение деревянных оконных переплётов и дверных полотен стеклом 4-6 мм при пл. стекла до 0,5 м2</v>
          </cell>
          <cell r="R17">
            <v>10</v>
          </cell>
        </row>
        <row r="18">
          <cell r="B18" t="str">
            <v>Остекленение деревянных оконных переплётов и дверных полотен стеклом 4-6 мм при пл. стекла свыше 0,5 м2 до 1 м2</v>
          </cell>
          <cell r="R18">
            <v>10</v>
          </cell>
        </row>
        <row r="19">
          <cell r="B19" t="str">
            <v xml:space="preserve">Выемка целых стёкол из деревянных переплётов при площади стекла свыше 0,5 м2 до 1 м2 </v>
          </cell>
          <cell r="R19">
            <v>10</v>
          </cell>
        </row>
        <row r="20">
          <cell r="B20" t="str">
            <v xml:space="preserve">Выемка целых стёкол из деревянных переплётов при площади стекла до 0,5 м2 </v>
          </cell>
          <cell r="R20">
            <v>10</v>
          </cell>
        </row>
        <row r="21">
          <cell r="B21" t="str">
            <v xml:space="preserve">Удаление битых стёкол из деревянных переплётов при площади стекла свыше 0,5 м2 до 1 м2 </v>
          </cell>
          <cell r="R21">
            <v>0</v>
          </cell>
        </row>
        <row r="22">
          <cell r="B22" t="str">
            <v>Удаление битых стёкол из деревянных переплётов при площади стекла свыше 0,25 м2 до 0,5 м2</v>
          </cell>
          <cell r="R22">
            <v>10</v>
          </cell>
        </row>
        <row r="23">
          <cell r="B23" t="str">
            <v>Перегруппировка секций старого радиатора (до 7 секций) или замена его средних секций</v>
          </cell>
          <cell r="R23">
            <v>60</v>
          </cell>
        </row>
        <row r="24">
          <cell r="B24" t="str">
            <v>Добавление крайней секции к радиатору</v>
          </cell>
          <cell r="R24">
            <v>40</v>
          </cell>
        </row>
        <row r="25">
          <cell r="B25" t="str">
            <v xml:space="preserve">Смена отопительного прибора </v>
          </cell>
          <cell r="R25">
            <v>40</v>
          </cell>
        </row>
        <row r="26">
          <cell r="B26" t="str">
            <v>Смена раковины</v>
          </cell>
          <cell r="R26">
            <v>20</v>
          </cell>
        </row>
        <row r="27">
          <cell r="B27" t="str">
            <v>Смена мойки на одно отделение</v>
          </cell>
          <cell r="R27">
            <v>40</v>
          </cell>
        </row>
        <row r="28">
          <cell r="B28" t="str">
            <v>Смена ванны</v>
          </cell>
          <cell r="R28">
            <v>100</v>
          </cell>
        </row>
        <row r="29">
          <cell r="B29" t="str">
            <v>Смена смесителя для ванны</v>
          </cell>
          <cell r="R29">
            <v>20</v>
          </cell>
        </row>
        <row r="30">
          <cell r="B30" t="str">
            <v>Ремонт смывного бочка с регулировкой на месте</v>
          </cell>
          <cell r="R30">
            <v>20</v>
          </cell>
        </row>
        <row r="31">
          <cell r="B31" t="str">
            <v>Регулировка смывного бочка без ремонта</v>
          </cell>
          <cell r="R31">
            <v>0</v>
          </cell>
        </row>
        <row r="32">
          <cell r="B32" t="str">
            <v>Прочистка трубопроводов внутренней канализации</v>
          </cell>
          <cell r="R32">
            <v>0</v>
          </cell>
        </row>
        <row r="33">
          <cell r="B33" t="str">
            <v>Смена прокладки для водоразборных кранов, душа, бачка унитаза</v>
          </cell>
          <cell r="R33">
            <v>10</v>
          </cell>
        </row>
        <row r="34">
          <cell r="B34" t="str">
            <v>Смена сифона в ванной</v>
          </cell>
          <cell r="R34">
            <v>20</v>
          </cell>
        </row>
        <row r="35">
          <cell r="B35" t="str">
            <v>Замена гибкой подводки к санитарному прибору</v>
          </cell>
          <cell r="R35">
            <v>10</v>
          </cell>
        </row>
        <row r="36">
          <cell r="B36" t="str">
            <v>Смена унитаза типа Компакт</v>
          </cell>
          <cell r="R36">
            <v>50</v>
          </cell>
        </row>
        <row r="37">
          <cell r="B37" t="str">
            <v>Смена полотенцесушителя</v>
          </cell>
          <cell r="R37">
            <v>30</v>
          </cell>
        </row>
        <row r="38">
          <cell r="B38" t="str">
            <v>Установка импортного смесителя в кухне со снятием старого</v>
          </cell>
          <cell r="R38">
            <v>40</v>
          </cell>
        </row>
        <row r="39">
          <cell r="B39" t="str">
            <v>Смена участков трубопроводов центрального отопления, холодного и горячего водоснабжения длиной от 0,5 м до 10 м</v>
          </cell>
          <cell r="R39">
            <v>30</v>
          </cell>
        </row>
        <row r="40">
          <cell r="B40" t="str">
            <v>Смена участка водопроводных труб до Ф25 мм</v>
          </cell>
          <cell r="R40">
            <v>10</v>
          </cell>
        </row>
        <row r="41">
          <cell r="B41" t="str">
            <v>Смена участка водопроводных труб свыше Ф25до Ф50 мм</v>
          </cell>
          <cell r="R41">
            <v>20</v>
          </cell>
        </row>
        <row r="42">
          <cell r="B42" t="str">
            <v>Смена участка водопроводных труб свыше Ф50 мм до Ф100мм</v>
          </cell>
          <cell r="R42">
            <v>20</v>
          </cell>
        </row>
        <row r="43">
          <cell r="B43" t="str">
            <v>Монтаж трубопроводов водоснабжения из металлопластиковых труб</v>
          </cell>
          <cell r="R43">
            <v>20</v>
          </cell>
        </row>
        <row r="44">
          <cell r="B44" t="str">
            <v>Смена вентилей на стояках водоснабжения</v>
          </cell>
          <cell r="R44">
            <v>20</v>
          </cell>
        </row>
        <row r="45">
          <cell r="B45" t="str">
            <v>Ремонт вентиля</v>
          </cell>
          <cell r="R45">
            <v>10</v>
          </cell>
        </row>
        <row r="46">
          <cell r="B46" t="str">
            <v>Смена отдельных участков трубопроводов Ф свыше 25 мм до 40 мм м.п.</v>
          </cell>
          <cell r="R46">
            <v>20</v>
          </cell>
        </row>
        <row r="47">
          <cell r="B47" t="str">
            <v>Ремонт на месте деревянной подоконной доски</v>
          </cell>
          <cell r="R47">
            <v>10</v>
          </cell>
        </row>
        <row r="48">
          <cell r="B48" t="str">
            <v>Малый ремонт створчатых оконных переплётов со снятием створок, створка</v>
          </cell>
          <cell r="R48">
            <v>10</v>
          </cell>
        </row>
        <row r="49">
          <cell r="B49" t="str">
            <v>Малый ремонт створчатых оконных переплётов без снятия створок, створка</v>
          </cell>
          <cell r="R49">
            <v>10</v>
          </cell>
        </row>
        <row r="50">
          <cell r="B50" t="str">
            <v>Большой ремонт створчатых оконных переплётов, створка</v>
          </cell>
          <cell r="R50">
            <v>40</v>
          </cell>
        </row>
        <row r="51">
          <cell r="B51" t="str">
            <v>Большой ремонт глухих оконных переплётов, переплёт</v>
          </cell>
          <cell r="R51">
            <v>40</v>
          </cell>
        </row>
        <row r="52">
          <cell r="B52" t="str">
            <v>Большой ремонт полотен внутренних дверей, полотно</v>
          </cell>
          <cell r="R52">
            <v>180</v>
          </cell>
        </row>
        <row r="53">
          <cell r="B53" t="str">
            <v>Малый ремонт на месте дверных полотен, полотно</v>
          </cell>
          <cell r="R53">
            <v>30</v>
          </cell>
        </row>
        <row r="54">
          <cell r="B54" t="str">
            <v>Снятие деревянных подоконных досок в каменных стенах</v>
          </cell>
          <cell r="R54">
            <v>0</v>
          </cell>
        </row>
        <row r="55">
          <cell r="B55" t="str">
            <v>Снятие деревянных подоконных досок в деревянных стенах</v>
          </cell>
          <cell r="R55">
            <v>0</v>
          </cell>
        </row>
        <row r="56">
          <cell r="B56" t="str">
            <v>Установка подоконных досок</v>
          </cell>
          <cell r="R56">
            <v>10</v>
          </cell>
        </row>
        <row r="57">
          <cell r="B57" t="str">
            <v>Смена ручек-скоб</v>
          </cell>
          <cell r="R57">
            <v>10</v>
          </cell>
        </row>
        <row r="58">
          <cell r="B58" t="str">
            <v>Смена завёрток врезных оконных, защёлок дверных, петель (дверных, оконных и форточных) всех видов, прибор или две петли</v>
          </cell>
          <cell r="R58">
            <v>20</v>
          </cell>
        </row>
        <row r="59">
          <cell r="B59" t="str">
            <v>Прочистка и промывка радиаторов на месте до 7 секций в группе</v>
          </cell>
          <cell r="R59">
            <v>40</v>
          </cell>
        </row>
        <row r="60">
          <cell r="B60" t="str">
            <v>Прочистка и промывка радиаторов на месте свыше 7 секций в группе</v>
          </cell>
          <cell r="R60">
            <v>50</v>
          </cell>
        </row>
        <row r="61">
          <cell r="B61" t="str">
            <v>Замена участка канализационного трубопровода из чугунных труб на пластмассовые или металлопластиковые</v>
          </cell>
          <cell r="R61">
            <v>20</v>
          </cell>
        </row>
        <row r="62">
          <cell r="B62" t="str">
            <v>Смена пластмассовых канализационных труб</v>
          </cell>
          <cell r="R62">
            <v>10</v>
          </cell>
        </row>
        <row r="63">
          <cell r="B63" t="str">
            <v>Смена отдельных участков чугунных канализационных труб диаметром 50 мм</v>
          </cell>
          <cell r="R63">
            <v>30</v>
          </cell>
        </row>
        <row r="64">
          <cell r="B64" t="str">
            <v>Смена отдельных участков чугунных канализационных труб диаметром 100 мм</v>
          </cell>
          <cell r="R64">
            <v>40</v>
          </cell>
        </row>
        <row r="65">
          <cell r="B65" t="str">
            <v>Смена отдельных участков чугунных канализационных труб диаметром 150 мм</v>
          </cell>
          <cell r="R65">
            <v>50</v>
          </cell>
        </row>
        <row r="66">
          <cell r="B66" t="str">
            <v>Смена сифона к санитарному прибору</v>
          </cell>
          <cell r="R66">
            <v>10</v>
          </cell>
        </row>
        <row r="67">
          <cell r="B67" t="str">
            <v>Смена водоразборных кранов</v>
          </cell>
          <cell r="R67">
            <v>10</v>
          </cell>
        </row>
        <row r="68">
          <cell r="B68" t="str">
            <v>Смена смесителя настенного для умывальников, моек или раковин</v>
          </cell>
          <cell r="R68">
            <v>20</v>
          </cell>
        </row>
        <row r="69">
          <cell r="B69" t="str">
            <v>Смена смесителя настольного для умывальников, моек или раковин</v>
          </cell>
          <cell r="R69">
            <v>30</v>
          </cell>
        </row>
        <row r="70">
          <cell r="B70" t="str">
            <v>Ремонт смесителя</v>
          </cell>
          <cell r="R70">
            <v>10</v>
          </cell>
        </row>
        <row r="71">
          <cell r="B71" t="str">
            <v>Прочистка засора сифона и выпуска</v>
          </cell>
          <cell r="R71">
            <v>10</v>
          </cell>
        </row>
        <row r="72">
          <cell r="B72" t="str">
            <v>Установка форточки с её изготовлением и вставкой стекла</v>
          </cell>
          <cell r="R72">
            <v>60</v>
          </cell>
        </row>
        <row r="73">
          <cell r="B73" t="str">
            <v>Смена форточки</v>
          </cell>
          <cell r="R73">
            <v>10</v>
          </cell>
        </row>
        <row r="74">
          <cell r="B74" t="str">
            <v>Прочистка вентиляционных каналов, дымоходов</v>
          </cell>
          <cell r="R74">
            <v>10</v>
          </cell>
        </row>
        <row r="75">
          <cell r="B75" t="str">
            <v>Установка приборов учёта воды и фильтров к ним</v>
          </cell>
          <cell r="R75">
            <v>60</v>
          </cell>
        </row>
        <row r="76">
          <cell r="B76" t="str">
            <v>Снятие крайних секций радиатора</v>
          </cell>
          <cell r="R76">
            <v>30</v>
          </cell>
        </row>
        <row r="77">
          <cell r="B77" t="str">
            <v>Смена приборов учёта воды и фильтров к ним</v>
          </cell>
          <cell r="R77">
            <v>10</v>
          </cell>
        </row>
        <row r="78">
          <cell r="B78" t="str">
            <v>Проверка на прогрев отопительных радиаторов с регулировкой</v>
          </cell>
          <cell r="R78">
            <v>0</v>
          </cell>
        </row>
        <row r="79">
          <cell r="B79" t="str">
            <v>Смена сгонов у трубопроводов диаметром до 25мм</v>
          </cell>
          <cell r="R79">
            <v>10</v>
          </cell>
        </row>
        <row r="80">
          <cell r="B80" t="str">
            <v>Смена сгонов у трубопроводов диаметром свыше 25мм до 40мм</v>
          </cell>
          <cell r="R80">
            <v>10</v>
          </cell>
        </row>
        <row r="81">
          <cell r="B81" t="str">
            <v>Смена крана двойной регулировки диаметром 20мм, проходных вентилей или оборотных клапанов диаметром до 50мм</v>
          </cell>
          <cell r="R81">
            <v>20</v>
          </cell>
        </row>
        <row r="82">
          <cell r="B82" t="str">
            <v>Смена кронштейнов</v>
          </cell>
          <cell r="R82">
            <v>10</v>
          </cell>
        </row>
        <row r="83">
          <cell r="B83" t="str">
            <v>Смена радиаторных пробок</v>
          </cell>
          <cell r="R83">
            <v>10</v>
          </cell>
        </row>
        <row r="84">
          <cell r="B84" t="str">
            <v>Ремонт (ревизия и притирка) кранов пробкового типа, кран</v>
          </cell>
          <cell r="R84">
            <v>10</v>
          </cell>
        </row>
        <row r="85">
          <cell r="B85" t="str">
            <v>Ремонт (ревизия и притирка) кранов вентильного типа, кран</v>
          </cell>
          <cell r="R85">
            <v>0</v>
          </cell>
        </row>
        <row r="86">
          <cell r="B86" t="str">
            <v>Установка микровоздушников на отопительных приборах</v>
          </cell>
          <cell r="R86">
            <v>10</v>
          </cell>
        </row>
        <row r="87">
          <cell r="B87" t="str">
            <v>Замена микровоздушников на отопительных приборах</v>
          </cell>
          <cell r="R87">
            <v>0</v>
          </cell>
        </row>
        <row r="88">
          <cell r="B88" t="str">
            <v xml:space="preserve">Отключение воды по стояку (5эт) спуск воды из стояка и его наполнение водой и включение </v>
          </cell>
          <cell r="R88">
            <v>10</v>
          </cell>
        </row>
        <row r="89">
          <cell r="B89" t="str">
            <v>Слитие стояка холодной воды</v>
          </cell>
          <cell r="R89">
            <v>10</v>
          </cell>
        </row>
        <row r="90">
          <cell r="B90" t="str">
            <v>Смена сидения к унитазу</v>
          </cell>
          <cell r="R90">
            <v>10</v>
          </cell>
        </row>
        <row r="91">
          <cell r="B91" t="str">
            <v>Смена манжеты к унитазу</v>
          </cell>
          <cell r="R91">
            <v>20</v>
          </cell>
        </row>
        <row r="92">
          <cell r="B92" t="str">
            <v>Смена головки вентиля</v>
          </cell>
          <cell r="R92">
            <v>10</v>
          </cell>
        </row>
        <row r="93">
          <cell r="B93" t="str">
            <v>Замена унитаза с высоко расположенным бочком на унитаз "компакт"</v>
          </cell>
          <cell r="R93">
            <v>70</v>
          </cell>
        </row>
        <row r="94">
          <cell r="B94" t="str">
            <v>Прочистка фильтров на подводке и санитарных приборов</v>
          </cell>
          <cell r="R94">
            <v>10</v>
          </cell>
        </row>
        <row r="95">
          <cell r="B95" t="str">
            <v>Улучшенная штукатурка стен по камню цементно-известковым раствором</v>
          </cell>
        </row>
        <row r="96">
          <cell r="B96" t="str">
            <v>Подшивка деревянных потолков фанерой, древестностружечными или льнокостровыми плитами  без устройства каркаса</v>
          </cell>
        </row>
        <row r="97">
          <cell r="B97" t="str">
            <v>Отсоединение и снятие с места радиатора до 7 секций в группе</v>
          </cell>
        </row>
        <row r="98">
          <cell r="B98" t="str">
            <v>Отсоединение и снятие с места радиатора свыше 7 секций в группе</v>
          </cell>
        </row>
        <row r="99">
          <cell r="B99" t="str">
            <v>Слитие стояка горячей воды</v>
          </cell>
        </row>
        <row r="100">
          <cell r="B100" t="str">
            <v>Смена вентиля старого образца на вентиль другого образца, включая вентель импортного производства на стояке водоснабжения</v>
          </cell>
        </row>
        <row r="101">
          <cell r="B101" t="str">
            <v>Снятие смесителя настенного для умывольников, моек или раковин</v>
          </cell>
        </row>
        <row r="102">
          <cell r="B102" t="str">
            <v>Снятие полотенцесушителя</v>
          </cell>
        </row>
        <row r="103">
          <cell r="B103" t="str">
            <v>Установка полотенцесушителя</v>
          </cell>
        </row>
        <row r="104">
          <cell r="B104" t="str">
            <v>Прокладка труб из полипропилена</v>
          </cell>
        </row>
        <row r="105">
          <cell r="B105" t="str">
            <v>Диаметром трубопровода  15 мм</v>
          </cell>
        </row>
        <row r="106">
          <cell r="B106" t="str">
            <v>20 мм</v>
          </cell>
        </row>
        <row r="107">
          <cell r="B107" t="str">
            <v>25мм</v>
          </cell>
        </row>
        <row r="108">
          <cell r="B108" t="str">
            <v>32мм</v>
          </cell>
        </row>
        <row r="109">
          <cell r="B109" t="str">
            <v>50мм</v>
          </cell>
        </row>
        <row r="110">
          <cell r="B110" t="str">
            <v>Прокладка наружного трубопровода из полизтиленовых труб</v>
          </cell>
        </row>
        <row r="111">
          <cell r="B111" t="str">
            <v>Диаметром трубопровода  20 мм</v>
          </cell>
        </row>
        <row r="112">
          <cell r="B112" t="str">
            <v>25 мм</v>
          </cell>
        </row>
        <row r="113">
          <cell r="B113" t="str">
            <v>32мм</v>
          </cell>
        </row>
        <row r="114">
          <cell r="B114" t="str">
            <v>40 мм</v>
          </cell>
        </row>
        <row r="115">
          <cell r="B115" t="str">
            <v>Установка после проверки индивидуального счетчика воды</v>
          </cell>
        </row>
        <row r="116">
          <cell r="B116" t="str">
            <v>с заменой штуцера и фильтра</v>
          </cell>
        </row>
        <row r="117">
          <cell r="B117" t="str">
            <v>с заменой штуцера и запорно-регулирующей арматуры</v>
          </cell>
        </row>
        <row r="118">
          <cell r="B118" t="str">
            <v>с заменой запорно-регулирующей арматуры</v>
          </cell>
        </row>
      </sheetData>
      <sheetData sheetId="22">
        <row r="44">
          <cell r="C44" t="str">
            <v>шт.</v>
          </cell>
        </row>
        <row r="45">
          <cell r="C45" t="str">
            <v>створка</v>
          </cell>
        </row>
        <row r="46">
          <cell r="C46" t="str">
            <v>створка</v>
          </cell>
        </row>
        <row r="47">
          <cell r="C47" t="str">
            <v>створка</v>
          </cell>
        </row>
        <row r="48">
          <cell r="C48" t="str">
            <v>переплёт</v>
          </cell>
        </row>
        <row r="49">
          <cell r="C49" t="str">
            <v>полотно</v>
          </cell>
        </row>
        <row r="50">
          <cell r="C50" t="str">
            <v>полотно</v>
          </cell>
        </row>
        <row r="51">
          <cell r="C51" t="str">
            <v>шт.</v>
          </cell>
        </row>
        <row r="52">
          <cell r="C52" t="str">
            <v>шт.</v>
          </cell>
        </row>
        <row r="53">
          <cell r="C53" t="str">
            <v>м.п.</v>
          </cell>
        </row>
        <row r="54">
          <cell r="C54" t="str">
            <v>прибор</v>
          </cell>
        </row>
        <row r="55">
          <cell r="C55" t="str">
            <v>прибор или две петли</v>
          </cell>
        </row>
        <row r="56">
          <cell r="C56" t="str">
            <v>радиатор</v>
          </cell>
        </row>
        <row r="57">
          <cell r="C57" t="str">
            <v>радиатор</v>
          </cell>
        </row>
        <row r="58">
          <cell r="C58" t="str">
            <v>м</v>
          </cell>
        </row>
        <row r="59">
          <cell r="C59" t="str">
            <v>м</v>
          </cell>
        </row>
        <row r="60">
          <cell r="C60" t="str">
            <v>м</v>
          </cell>
        </row>
        <row r="61">
          <cell r="C61" t="str">
            <v>м</v>
          </cell>
        </row>
        <row r="62">
          <cell r="C62" t="str">
            <v>м</v>
          </cell>
        </row>
        <row r="63">
          <cell r="C63" t="str">
            <v>шт.</v>
          </cell>
        </row>
        <row r="64">
          <cell r="C64" t="str">
            <v>шт.</v>
          </cell>
        </row>
        <row r="65">
          <cell r="C65" t="str">
            <v>шт.</v>
          </cell>
        </row>
        <row r="66">
          <cell r="C66" t="str">
            <v>шт.</v>
          </cell>
        </row>
        <row r="67">
          <cell r="C67" t="str">
            <v>шт.</v>
          </cell>
        </row>
        <row r="68">
          <cell r="C68" t="str">
            <v>прибор</v>
          </cell>
        </row>
        <row r="69">
          <cell r="C69" t="str">
            <v>форточка</v>
          </cell>
        </row>
        <row r="70">
          <cell r="C70" t="str">
            <v>форточка</v>
          </cell>
        </row>
        <row r="71">
          <cell r="C71" t="str">
            <v>м</v>
          </cell>
        </row>
        <row r="72">
          <cell r="C72" t="str">
            <v>прибор</v>
          </cell>
        </row>
        <row r="73">
          <cell r="C73" t="str">
            <v>секция</v>
          </cell>
        </row>
        <row r="74">
          <cell r="C74" t="str">
            <v>прибор</v>
          </cell>
        </row>
        <row r="75">
          <cell r="C75" t="str">
            <v>прибор</v>
          </cell>
        </row>
        <row r="76">
          <cell r="C76" t="str">
            <v>шт</v>
          </cell>
        </row>
        <row r="77">
          <cell r="C77" t="str">
            <v>шт</v>
          </cell>
        </row>
        <row r="78">
          <cell r="C78" t="str">
            <v xml:space="preserve">шт </v>
          </cell>
        </row>
        <row r="79">
          <cell r="C79" t="str">
            <v>шт</v>
          </cell>
        </row>
        <row r="80">
          <cell r="C80" t="str">
            <v>шт</v>
          </cell>
        </row>
        <row r="81">
          <cell r="C81" t="str">
            <v>м</v>
          </cell>
        </row>
        <row r="82">
          <cell r="C82" t="str">
            <v>м</v>
          </cell>
        </row>
        <row r="85">
          <cell r="C85" t="str">
            <v>стояк</v>
          </cell>
        </row>
        <row r="86">
          <cell r="C86" t="str">
            <v>стояк</v>
          </cell>
        </row>
        <row r="102">
          <cell r="C102" t="str">
            <v>м</v>
          </cell>
        </row>
        <row r="103">
          <cell r="C103" t="str">
            <v>м</v>
          </cell>
        </row>
        <row r="104">
          <cell r="C104" t="str">
            <v>м</v>
          </cell>
        </row>
        <row r="106">
          <cell r="C106" t="str">
            <v>м</v>
          </cell>
        </row>
        <row r="108">
          <cell r="C108" t="str">
            <v>м</v>
          </cell>
        </row>
        <row r="109">
          <cell r="C109" t="str">
            <v>м</v>
          </cell>
        </row>
        <row r="112">
          <cell r="C112" t="str">
            <v>счетчик</v>
          </cell>
        </row>
        <row r="113">
          <cell r="C113" t="str">
            <v>счетчик</v>
          </cell>
        </row>
        <row r="114">
          <cell r="C114" t="str">
            <v>счетчик</v>
          </cell>
        </row>
        <row r="115">
          <cell r="C115" t="str">
            <v>счетчик</v>
          </cell>
        </row>
        <row r="116">
          <cell r="B116" t="str">
            <v>Скашивание травы с газонов ручной газонокосилкой</v>
          </cell>
        </row>
        <row r="117">
          <cell r="B117" t="str">
            <v>При высоте травостоя до 15см</v>
          </cell>
        </row>
        <row r="118">
          <cell r="B118" t="str">
            <v xml:space="preserve">  - сплошных</v>
          </cell>
        </row>
        <row r="119">
          <cell r="B119" t="str">
            <v xml:space="preserve">  - комбинированных</v>
          </cell>
        </row>
        <row r="120">
          <cell r="B120" t="str">
            <v xml:space="preserve"> - склоны и канавы</v>
          </cell>
        </row>
        <row r="121">
          <cell r="B121" t="str">
            <v>При высоте травостоя свыше 15см до 20 см</v>
          </cell>
        </row>
        <row r="122">
          <cell r="B122" t="str">
            <v xml:space="preserve">  - сплошных</v>
          </cell>
        </row>
        <row r="123">
          <cell r="B123" t="str">
            <v xml:space="preserve">  - комбинированных</v>
          </cell>
        </row>
        <row r="124">
          <cell r="B124" t="str">
            <v xml:space="preserve"> - склоны и канавы</v>
          </cell>
        </row>
        <row r="125">
          <cell r="B125" t="str">
            <v>При высоте травостоя свыше 20 см</v>
          </cell>
        </row>
        <row r="126">
          <cell r="B126" t="str">
            <v xml:space="preserve">  - сплошных</v>
          </cell>
        </row>
        <row r="127">
          <cell r="B127" t="str">
            <v xml:space="preserve">  - комбинированных</v>
          </cell>
        </row>
        <row r="128">
          <cell r="B128" t="str">
            <v xml:space="preserve"> - склоны и канавы</v>
          </cell>
        </row>
        <row r="129">
          <cell r="B129" t="str">
            <v>Смена гофры</v>
          </cell>
        </row>
        <row r="130">
          <cell r="B130" t="str">
            <v>Смена шланга душа смесителя для ванной</v>
          </cell>
        </row>
        <row r="131">
          <cell r="B131" t="str">
            <v>Переустановка смывного бочка при установке индивидуальных приборов учета</v>
          </cell>
        </row>
        <row r="132">
          <cell r="B132" t="str">
            <v>Смена подводки, стояков ХГВ из труб водогазопроводных на  металлопластиковые на фитингах (резьбовых соединениях)</v>
          </cell>
        </row>
        <row r="133">
          <cell r="B133" t="str">
            <v>диаметром до 15 мм</v>
          </cell>
        </row>
        <row r="134">
          <cell r="B134" t="str">
            <v>диаметром до 32 мм</v>
          </cell>
        </row>
        <row r="135">
          <cell r="B135" t="str">
            <v>диаметром до 63 мм</v>
          </cell>
        </row>
        <row r="136">
          <cell r="B136" t="str">
            <v>диаметром до 100 мм</v>
          </cell>
        </row>
      </sheetData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2A3A-89EA-45CF-990F-2EF294255B7B}">
  <sheetPr>
    <pageSetUpPr fitToPage="1"/>
  </sheetPr>
  <dimension ref="A1:T268"/>
  <sheetViews>
    <sheetView tabSelected="1" topLeftCell="A10" workbookViewId="0">
      <selection activeCell="F16" sqref="F16"/>
    </sheetView>
  </sheetViews>
  <sheetFormatPr defaultRowHeight="15.75" x14ac:dyDescent="0.25"/>
  <cols>
    <col min="1" max="1" width="5.140625" style="6" customWidth="1"/>
    <col min="2" max="2" width="44.140625" style="2" customWidth="1"/>
    <col min="3" max="3" width="8.7109375" style="2" customWidth="1"/>
    <col min="4" max="4" width="0.140625" style="15" hidden="1" customWidth="1"/>
    <col min="5" max="5" width="14.28515625" style="15" hidden="1" customWidth="1"/>
    <col min="6" max="7" width="19.7109375" style="15" customWidth="1"/>
    <col min="8" max="8" width="43.42578125" style="5" customWidth="1"/>
    <col min="9" max="9" width="11.140625" style="4" customWidth="1"/>
    <col min="10" max="10" width="9.140625" style="5"/>
    <col min="11" max="11" width="8.28515625" style="5" customWidth="1"/>
    <col min="12" max="256" width="9.140625" style="5"/>
    <col min="257" max="257" width="5.140625" style="5" customWidth="1"/>
    <col min="258" max="258" width="44.140625" style="5" customWidth="1"/>
    <col min="259" max="259" width="8.7109375" style="5" customWidth="1"/>
    <col min="260" max="261" width="0" style="5" hidden="1" customWidth="1"/>
    <col min="262" max="263" width="19.7109375" style="5" customWidth="1"/>
    <col min="264" max="264" width="43.42578125" style="5" customWidth="1"/>
    <col min="265" max="265" width="11.140625" style="5" customWidth="1"/>
    <col min="266" max="266" width="9.140625" style="5"/>
    <col min="267" max="267" width="8.28515625" style="5" customWidth="1"/>
    <col min="268" max="512" width="9.140625" style="5"/>
    <col min="513" max="513" width="5.140625" style="5" customWidth="1"/>
    <col min="514" max="514" width="44.140625" style="5" customWidth="1"/>
    <col min="515" max="515" width="8.7109375" style="5" customWidth="1"/>
    <col min="516" max="517" width="0" style="5" hidden="1" customWidth="1"/>
    <col min="518" max="519" width="19.7109375" style="5" customWidth="1"/>
    <col min="520" max="520" width="43.42578125" style="5" customWidth="1"/>
    <col min="521" max="521" width="11.140625" style="5" customWidth="1"/>
    <col min="522" max="522" width="9.140625" style="5"/>
    <col min="523" max="523" width="8.28515625" style="5" customWidth="1"/>
    <col min="524" max="768" width="9.140625" style="5"/>
    <col min="769" max="769" width="5.140625" style="5" customWidth="1"/>
    <col min="770" max="770" width="44.140625" style="5" customWidth="1"/>
    <col min="771" max="771" width="8.7109375" style="5" customWidth="1"/>
    <col min="772" max="773" width="0" style="5" hidden="1" customWidth="1"/>
    <col min="774" max="775" width="19.7109375" style="5" customWidth="1"/>
    <col min="776" max="776" width="43.42578125" style="5" customWidth="1"/>
    <col min="777" max="777" width="11.140625" style="5" customWidth="1"/>
    <col min="778" max="778" width="9.140625" style="5"/>
    <col min="779" max="779" width="8.28515625" style="5" customWidth="1"/>
    <col min="780" max="1024" width="9.140625" style="5"/>
    <col min="1025" max="1025" width="5.140625" style="5" customWidth="1"/>
    <col min="1026" max="1026" width="44.140625" style="5" customWidth="1"/>
    <col min="1027" max="1027" width="8.7109375" style="5" customWidth="1"/>
    <col min="1028" max="1029" width="0" style="5" hidden="1" customWidth="1"/>
    <col min="1030" max="1031" width="19.7109375" style="5" customWidth="1"/>
    <col min="1032" max="1032" width="43.42578125" style="5" customWidth="1"/>
    <col min="1033" max="1033" width="11.140625" style="5" customWidth="1"/>
    <col min="1034" max="1034" width="9.140625" style="5"/>
    <col min="1035" max="1035" width="8.28515625" style="5" customWidth="1"/>
    <col min="1036" max="1280" width="9.140625" style="5"/>
    <col min="1281" max="1281" width="5.140625" style="5" customWidth="1"/>
    <col min="1282" max="1282" width="44.140625" style="5" customWidth="1"/>
    <col min="1283" max="1283" width="8.7109375" style="5" customWidth="1"/>
    <col min="1284" max="1285" width="0" style="5" hidden="1" customWidth="1"/>
    <col min="1286" max="1287" width="19.7109375" style="5" customWidth="1"/>
    <col min="1288" max="1288" width="43.42578125" style="5" customWidth="1"/>
    <col min="1289" max="1289" width="11.140625" style="5" customWidth="1"/>
    <col min="1290" max="1290" width="9.140625" style="5"/>
    <col min="1291" max="1291" width="8.28515625" style="5" customWidth="1"/>
    <col min="1292" max="1536" width="9.140625" style="5"/>
    <col min="1537" max="1537" width="5.140625" style="5" customWidth="1"/>
    <col min="1538" max="1538" width="44.140625" style="5" customWidth="1"/>
    <col min="1539" max="1539" width="8.7109375" style="5" customWidth="1"/>
    <col min="1540" max="1541" width="0" style="5" hidden="1" customWidth="1"/>
    <col min="1542" max="1543" width="19.7109375" style="5" customWidth="1"/>
    <col min="1544" max="1544" width="43.42578125" style="5" customWidth="1"/>
    <col min="1545" max="1545" width="11.140625" style="5" customWidth="1"/>
    <col min="1546" max="1546" width="9.140625" style="5"/>
    <col min="1547" max="1547" width="8.28515625" style="5" customWidth="1"/>
    <col min="1548" max="1792" width="9.140625" style="5"/>
    <col min="1793" max="1793" width="5.140625" style="5" customWidth="1"/>
    <col min="1794" max="1794" width="44.140625" style="5" customWidth="1"/>
    <col min="1795" max="1795" width="8.7109375" style="5" customWidth="1"/>
    <col min="1796" max="1797" width="0" style="5" hidden="1" customWidth="1"/>
    <col min="1798" max="1799" width="19.7109375" style="5" customWidth="1"/>
    <col min="1800" max="1800" width="43.42578125" style="5" customWidth="1"/>
    <col min="1801" max="1801" width="11.140625" style="5" customWidth="1"/>
    <col min="1802" max="1802" width="9.140625" style="5"/>
    <col min="1803" max="1803" width="8.28515625" style="5" customWidth="1"/>
    <col min="1804" max="2048" width="9.140625" style="5"/>
    <col min="2049" max="2049" width="5.140625" style="5" customWidth="1"/>
    <col min="2050" max="2050" width="44.140625" style="5" customWidth="1"/>
    <col min="2051" max="2051" width="8.7109375" style="5" customWidth="1"/>
    <col min="2052" max="2053" width="0" style="5" hidden="1" customWidth="1"/>
    <col min="2054" max="2055" width="19.7109375" style="5" customWidth="1"/>
    <col min="2056" max="2056" width="43.42578125" style="5" customWidth="1"/>
    <col min="2057" max="2057" width="11.140625" style="5" customWidth="1"/>
    <col min="2058" max="2058" width="9.140625" style="5"/>
    <col min="2059" max="2059" width="8.28515625" style="5" customWidth="1"/>
    <col min="2060" max="2304" width="9.140625" style="5"/>
    <col min="2305" max="2305" width="5.140625" style="5" customWidth="1"/>
    <col min="2306" max="2306" width="44.140625" style="5" customWidth="1"/>
    <col min="2307" max="2307" width="8.7109375" style="5" customWidth="1"/>
    <col min="2308" max="2309" width="0" style="5" hidden="1" customWidth="1"/>
    <col min="2310" max="2311" width="19.7109375" style="5" customWidth="1"/>
    <col min="2312" max="2312" width="43.42578125" style="5" customWidth="1"/>
    <col min="2313" max="2313" width="11.140625" style="5" customWidth="1"/>
    <col min="2314" max="2314" width="9.140625" style="5"/>
    <col min="2315" max="2315" width="8.28515625" style="5" customWidth="1"/>
    <col min="2316" max="2560" width="9.140625" style="5"/>
    <col min="2561" max="2561" width="5.140625" style="5" customWidth="1"/>
    <col min="2562" max="2562" width="44.140625" style="5" customWidth="1"/>
    <col min="2563" max="2563" width="8.7109375" style="5" customWidth="1"/>
    <col min="2564" max="2565" width="0" style="5" hidden="1" customWidth="1"/>
    <col min="2566" max="2567" width="19.7109375" style="5" customWidth="1"/>
    <col min="2568" max="2568" width="43.42578125" style="5" customWidth="1"/>
    <col min="2569" max="2569" width="11.140625" style="5" customWidth="1"/>
    <col min="2570" max="2570" width="9.140625" style="5"/>
    <col min="2571" max="2571" width="8.28515625" style="5" customWidth="1"/>
    <col min="2572" max="2816" width="9.140625" style="5"/>
    <col min="2817" max="2817" width="5.140625" style="5" customWidth="1"/>
    <col min="2818" max="2818" width="44.140625" style="5" customWidth="1"/>
    <col min="2819" max="2819" width="8.7109375" style="5" customWidth="1"/>
    <col min="2820" max="2821" width="0" style="5" hidden="1" customWidth="1"/>
    <col min="2822" max="2823" width="19.7109375" style="5" customWidth="1"/>
    <col min="2824" max="2824" width="43.42578125" style="5" customWidth="1"/>
    <col min="2825" max="2825" width="11.140625" style="5" customWidth="1"/>
    <col min="2826" max="2826" width="9.140625" style="5"/>
    <col min="2827" max="2827" width="8.28515625" style="5" customWidth="1"/>
    <col min="2828" max="3072" width="9.140625" style="5"/>
    <col min="3073" max="3073" width="5.140625" style="5" customWidth="1"/>
    <col min="3074" max="3074" width="44.140625" style="5" customWidth="1"/>
    <col min="3075" max="3075" width="8.7109375" style="5" customWidth="1"/>
    <col min="3076" max="3077" width="0" style="5" hidden="1" customWidth="1"/>
    <col min="3078" max="3079" width="19.7109375" style="5" customWidth="1"/>
    <col min="3080" max="3080" width="43.42578125" style="5" customWidth="1"/>
    <col min="3081" max="3081" width="11.140625" style="5" customWidth="1"/>
    <col min="3082" max="3082" width="9.140625" style="5"/>
    <col min="3083" max="3083" width="8.28515625" style="5" customWidth="1"/>
    <col min="3084" max="3328" width="9.140625" style="5"/>
    <col min="3329" max="3329" width="5.140625" style="5" customWidth="1"/>
    <col min="3330" max="3330" width="44.140625" style="5" customWidth="1"/>
    <col min="3331" max="3331" width="8.7109375" style="5" customWidth="1"/>
    <col min="3332" max="3333" width="0" style="5" hidden="1" customWidth="1"/>
    <col min="3334" max="3335" width="19.7109375" style="5" customWidth="1"/>
    <col min="3336" max="3336" width="43.42578125" style="5" customWidth="1"/>
    <col min="3337" max="3337" width="11.140625" style="5" customWidth="1"/>
    <col min="3338" max="3338" width="9.140625" style="5"/>
    <col min="3339" max="3339" width="8.28515625" style="5" customWidth="1"/>
    <col min="3340" max="3584" width="9.140625" style="5"/>
    <col min="3585" max="3585" width="5.140625" style="5" customWidth="1"/>
    <col min="3586" max="3586" width="44.140625" style="5" customWidth="1"/>
    <col min="3587" max="3587" width="8.7109375" style="5" customWidth="1"/>
    <col min="3588" max="3589" width="0" style="5" hidden="1" customWidth="1"/>
    <col min="3590" max="3591" width="19.7109375" style="5" customWidth="1"/>
    <col min="3592" max="3592" width="43.42578125" style="5" customWidth="1"/>
    <col min="3593" max="3593" width="11.140625" style="5" customWidth="1"/>
    <col min="3594" max="3594" width="9.140625" style="5"/>
    <col min="3595" max="3595" width="8.28515625" style="5" customWidth="1"/>
    <col min="3596" max="3840" width="9.140625" style="5"/>
    <col min="3841" max="3841" width="5.140625" style="5" customWidth="1"/>
    <col min="3842" max="3842" width="44.140625" style="5" customWidth="1"/>
    <col min="3843" max="3843" width="8.7109375" style="5" customWidth="1"/>
    <col min="3844" max="3845" width="0" style="5" hidden="1" customWidth="1"/>
    <col min="3846" max="3847" width="19.7109375" style="5" customWidth="1"/>
    <col min="3848" max="3848" width="43.42578125" style="5" customWidth="1"/>
    <col min="3849" max="3849" width="11.140625" style="5" customWidth="1"/>
    <col min="3850" max="3850" width="9.140625" style="5"/>
    <col min="3851" max="3851" width="8.28515625" style="5" customWidth="1"/>
    <col min="3852" max="4096" width="9.140625" style="5"/>
    <col min="4097" max="4097" width="5.140625" style="5" customWidth="1"/>
    <col min="4098" max="4098" width="44.140625" style="5" customWidth="1"/>
    <col min="4099" max="4099" width="8.7109375" style="5" customWidth="1"/>
    <col min="4100" max="4101" width="0" style="5" hidden="1" customWidth="1"/>
    <col min="4102" max="4103" width="19.7109375" style="5" customWidth="1"/>
    <col min="4104" max="4104" width="43.42578125" style="5" customWidth="1"/>
    <col min="4105" max="4105" width="11.140625" style="5" customWidth="1"/>
    <col min="4106" max="4106" width="9.140625" style="5"/>
    <col min="4107" max="4107" width="8.28515625" style="5" customWidth="1"/>
    <col min="4108" max="4352" width="9.140625" style="5"/>
    <col min="4353" max="4353" width="5.140625" style="5" customWidth="1"/>
    <col min="4354" max="4354" width="44.140625" style="5" customWidth="1"/>
    <col min="4355" max="4355" width="8.7109375" style="5" customWidth="1"/>
    <col min="4356" max="4357" width="0" style="5" hidden="1" customWidth="1"/>
    <col min="4358" max="4359" width="19.7109375" style="5" customWidth="1"/>
    <col min="4360" max="4360" width="43.42578125" style="5" customWidth="1"/>
    <col min="4361" max="4361" width="11.140625" style="5" customWidth="1"/>
    <col min="4362" max="4362" width="9.140625" style="5"/>
    <col min="4363" max="4363" width="8.28515625" style="5" customWidth="1"/>
    <col min="4364" max="4608" width="9.140625" style="5"/>
    <col min="4609" max="4609" width="5.140625" style="5" customWidth="1"/>
    <col min="4610" max="4610" width="44.140625" style="5" customWidth="1"/>
    <col min="4611" max="4611" width="8.7109375" style="5" customWidth="1"/>
    <col min="4612" max="4613" width="0" style="5" hidden="1" customWidth="1"/>
    <col min="4614" max="4615" width="19.7109375" style="5" customWidth="1"/>
    <col min="4616" max="4616" width="43.42578125" style="5" customWidth="1"/>
    <col min="4617" max="4617" width="11.140625" style="5" customWidth="1"/>
    <col min="4618" max="4618" width="9.140625" style="5"/>
    <col min="4619" max="4619" width="8.28515625" style="5" customWidth="1"/>
    <col min="4620" max="4864" width="9.140625" style="5"/>
    <col min="4865" max="4865" width="5.140625" style="5" customWidth="1"/>
    <col min="4866" max="4866" width="44.140625" style="5" customWidth="1"/>
    <col min="4867" max="4867" width="8.7109375" style="5" customWidth="1"/>
    <col min="4868" max="4869" width="0" style="5" hidden="1" customWidth="1"/>
    <col min="4870" max="4871" width="19.7109375" style="5" customWidth="1"/>
    <col min="4872" max="4872" width="43.42578125" style="5" customWidth="1"/>
    <col min="4873" max="4873" width="11.140625" style="5" customWidth="1"/>
    <col min="4874" max="4874" width="9.140625" style="5"/>
    <col min="4875" max="4875" width="8.28515625" style="5" customWidth="1"/>
    <col min="4876" max="5120" width="9.140625" style="5"/>
    <col min="5121" max="5121" width="5.140625" style="5" customWidth="1"/>
    <col min="5122" max="5122" width="44.140625" style="5" customWidth="1"/>
    <col min="5123" max="5123" width="8.7109375" style="5" customWidth="1"/>
    <col min="5124" max="5125" width="0" style="5" hidden="1" customWidth="1"/>
    <col min="5126" max="5127" width="19.7109375" style="5" customWidth="1"/>
    <col min="5128" max="5128" width="43.42578125" style="5" customWidth="1"/>
    <col min="5129" max="5129" width="11.140625" style="5" customWidth="1"/>
    <col min="5130" max="5130" width="9.140625" style="5"/>
    <col min="5131" max="5131" width="8.28515625" style="5" customWidth="1"/>
    <col min="5132" max="5376" width="9.140625" style="5"/>
    <col min="5377" max="5377" width="5.140625" style="5" customWidth="1"/>
    <col min="5378" max="5378" width="44.140625" style="5" customWidth="1"/>
    <col min="5379" max="5379" width="8.7109375" style="5" customWidth="1"/>
    <col min="5380" max="5381" width="0" style="5" hidden="1" customWidth="1"/>
    <col min="5382" max="5383" width="19.7109375" style="5" customWidth="1"/>
    <col min="5384" max="5384" width="43.42578125" style="5" customWidth="1"/>
    <col min="5385" max="5385" width="11.140625" style="5" customWidth="1"/>
    <col min="5386" max="5386" width="9.140625" style="5"/>
    <col min="5387" max="5387" width="8.28515625" style="5" customWidth="1"/>
    <col min="5388" max="5632" width="9.140625" style="5"/>
    <col min="5633" max="5633" width="5.140625" style="5" customWidth="1"/>
    <col min="5634" max="5634" width="44.140625" style="5" customWidth="1"/>
    <col min="5635" max="5635" width="8.7109375" style="5" customWidth="1"/>
    <col min="5636" max="5637" width="0" style="5" hidden="1" customWidth="1"/>
    <col min="5638" max="5639" width="19.7109375" style="5" customWidth="1"/>
    <col min="5640" max="5640" width="43.42578125" style="5" customWidth="1"/>
    <col min="5641" max="5641" width="11.140625" style="5" customWidth="1"/>
    <col min="5642" max="5642" width="9.140625" style="5"/>
    <col min="5643" max="5643" width="8.28515625" style="5" customWidth="1"/>
    <col min="5644" max="5888" width="9.140625" style="5"/>
    <col min="5889" max="5889" width="5.140625" style="5" customWidth="1"/>
    <col min="5890" max="5890" width="44.140625" style="5" customWidth="1"/>
    <col min="5891" max="5891" width="8.7109375" style="5" customWidth="1"/>
    <col min="5892" max="5893" width="0" style="5" hidden="1" customWidth="1"/>
    <col min="5894" max="5895" width="19.7109375" style="5" customWidth="1"/>
    <col min="5896" max="5896" width="43.42578125" style="5" customWidth="1"/>
    <col min="5897" max="5897" width="11.140625" style="5" customWidth="1"/>
    <col min="5898" max="5898" width="9.140625" style="5"/>
    <col min="5899" max="5899" width="8.28515625" style="5" customWidth="1"/>
    <col min="5900" max="6144" width="9.140625" style="5"/>
    <col min="6145" max="6145" width="5.140625" style="5" customWidth="1"/>
    <col min="6146" max="6146" width="44.140625" style="5" customWidth="1"/>
    <col min="6147" max="6147" width="8.7109375" style="5" customWidth="1"/>
    <col min="6148" max="6149" width="0" style="5" hidden="1" customWidth="1"/>
    <col min="6150" max="6151" width="19.7109375" style="5" customWidth="1"/>
    <col min="6152" max="6152" width="43.42578125" style="5" customWidth="1"/>
    <col min="6153" max="6153" width="11.140625" style="5" customWidth="1"/>
    <col min="6154" max="6154" width="9.140625" style="5"/>
    <col min="6155" max="6155" width="8.28515625" style="5" customWidth="1"/>
    <col min="6156" max="6400" width="9.140625" style="5"/>
    <col min="6401" max="6401" width="5.140625" style="5" customWidth="1"/>
    <col min="6402" max="6402" width="44.140625" style="5" customWidth="1"/>
    <col min="6403" max="6403" width="8.7109375" style="5" customWidth="1"/>
    <col min="6404" max="6405" width="0" style="5" hidden="1" customWidth="1"/>
    <col min="6406" max="6407" width="19.7109375" style="5" customWidth="1"/>
    <col min="6408" max="6408" width="43.42578125" style="5" customWidth="1"/>
    <col min="6409" max="6409" width="11.140625" style="5" customWidth="1"/>
    <col min="6410" max="6410" width="9.140625" style="5"/>
    <col min="6411" max="6411" width="8.28515625" style="5" customWidth="1"/>
    <col min="6412" max="6656" width="9.140625" style="5"/>
    <col min="6657" max="6657" width="5.140625" style="5" customWidth="1"/>
    <col min="6658" max="6658" width="44.140625" style="5" customWidth="1"/>
    <col min="6659" max="6659" width="8.7109375" style="5" customWidth="1"/>
    <col min="6660" max="6661" width="0" style="5" hidden="1" customWidth="1"/>
    <col min="6662" max="6663" width="19.7109375" style="5" customWidth="1"/>
    <col min="6664" max="6664" width="43.42578125" style="5" customWidth="1"/>
    <col min="6665" max="6665" width="11.140625" style="5" customWidth="1"/>
    <col min="6666" max="6666" width="9.140625" style="5"/>
    <col min="6667" max="6667" width="8.28515625" style="5" customWidth="1"/>
    <col min="6668" max="6912" width="9.140625" style="5"/>
    <col min="6913" max="6913" width="5.140625" style="5" customWidth="1"/>
    <col min="6914" max="6914" width="44.140625" style="5" customWidth="1"/>
    <col min="6915" max="6915" width="8.7109375" style="5" customWidth="1"/>
    <col min="6916" max="6917" width="0" style="5" hidden="1" customWidth="1"/>
    <col min="6918" max="6919" width="19.7109375" style="5" customWidth="1"/>
    <col min="6920" max="6920" width="43.42578125" style="5" customWidth="1"/>
    <col min="6921" max="6921" width="11.140625" style="5" customWidth="1"/>
    <col min="6922" max="6922" width="9.140625" style="5"/>
    <col min="6923" max="6923" width="8.28515625" style="5" customWidth="1"/>
    <col min="6924" max="7168" width="9.140625" style="5"/>
    <col min="7169" max="7169" width="5.140625" style="5" customWidth="1"/>
    <col min="7170" max="7170" width="44.140625" style="5" customWidth="1"/>
    <col min="7171" max="7171" width="8.7109375" style="5" customWidth="1"/>
    <col min="7172" max="7173" width="0" style="5" hidden="1" customWidth="1"/>
    <col min="7174" max="7175" width="19.7109375" style="5" customWidth="1"/>
    <col min="7176" max="7176" width="43.42578125" style="5" customWidth="1"/>
    <col min="7177" max="7177" width="11.140625" style="5" customWidth="1"/>
    <col min="7178" max="7178" width="9.140625" style="5"/>
    <col min="7179" max="7179" width="8.28515625" style="5" customWidth="1"/>
    <col min="7180" max="7424" width="9.140625" style="5"/>
    <col min="7425" max="7425" width="5.140625" style="5" customWidth="1"/>
    <col min="7426" max="7426" width="44.140625" style="5" customWidth="1"/>
    <col min="7427" max="7427" width="8.7109375" style="5" customWidth="1"/>
    <col min="7428" max="7429" width="0" style="5" hidden="1" customWidth="1"/>
    <col min="7430" max="7431" width="19.7109375" style="5" customWidth="1"/>
    <col min="7432" max="7432" width="43.42578125" style="5" customWidth="1"/>
    <col min="7433" max="7433" width="11.140625" style="5" customWidth="1"/>
    <col min="7434" max="7434" width="9.140625" style="5"/>
    <col min="7435" max="7435" width="8.28515625" style="5" customWidth="1"/>
    <col min="7436" max="7680" width="9.140625" style="5"/>
    <col min="7681" max="7681" width="5.140625" style="5" customWidth="1"/>
    <col min="7682" max="7682" width="44.140625" style="5" customWidth="1"/>
    <col min="7683" max="7683" width="8.7109375" style="5" customWidth="1"/>
    <col min="7684" max="7685" width="0" style="5" hidden="1" customWidth="1"/>
    <col min="7686" max="7687" width="19.7109375" style="5" customWidth="1"/>
    <col min="7688" max="7688" width="43.42578125" style="5" customWidth="1"/>
    <col min="7689" max="7689" width="11.140625" style="5" customWidth="1"/>
    <col min="7690" max="7690" width="9.140625" style="5"/>
    <col min="7691" max="7691" width="8.28515625" style="5" customWidth="1"/>
    <col min="7692" max="7936" width="9.140625" style="5"/>
    <col min="7937" max="7937" width="5.140625" style="5" customWidth="1"/>
    <col min="7938" max="7938" width="44.140625" style="5" customWidth="1"/>
    <col min="7939" max="7939" width="8.7109375" style="5" customWidth="1"/>
    <col min="7940" max="7941" width="0" style="5" hidden="1" customWidth="1"/>
    <col min="7942" max="7943" width="19.7109375" style="5" customWidth="1"/>
    <col min="7944" max="7944" width="43.42578125" style="5" customWidth="1"/>
    <col min="7945" max="7945" width="11.140625" style="5" customWidth="1"/>
    <col min="7946" max="7946" width="9.140625" style="5"/>
    <col min="7947" max="7947" width="8.28515625" style="5" customWidth="1"/>
    <col min="7948" max="8192" width="9.140625" style="5"/>
    <col min="8193" max="8193" width="5.140625" style="5" customWidth="1"/>
    <col min="8194" max="8194" width="44.140625" style="5" customWidth="1"/>
    <col min="8195" max="8195" width="8.7109375" style="5" customWidth="1"/>
    <col min="8196" max="8197" width="0" style="5" hidden="1" customWidth="1"/>
    <col min="8198" max="8199" width="19.7109375" style="5" customWidth="1"/>
    <col min="8200" max="8200" width="43.42578125" style="5" customWidth="1"/>
    <col min="8201" max="8201" width="11.140625" style="5" customWidth="1"/>
    <col min="8202" max="8202" width="9.140625" style="5"/>
    <col min="8203" max="8203" width="8.28515625" style="5" customWidth="1"/>
    <col min="8204" max="8448" width="9.140625" style="5"/>
    <col min="8449" max="8449" width="5.140625" style="5" customWidth="1"/>
    <col min="8450" max="8450" width="44.140625" style="5" customWidth="1"/>
    <col min="8451" max="8451" width="8.7109375" style="5" customWidth="1"/>
    <col min="8452" max="8453" width="0" style="5" hidden="1" customWidth="1"/>
    <col min="8454" max="8455" width="19.7109375" style="5" customWidth="1"/>
    <col min="8456" max="8456" width="43.42578125" style="5" customWidth="1"/>
    <col min="8457" max="8457" width="11.140625" style="5" customWidth="1"/>
    <col min="8458" max="8458" width="9.140625" style="5"/>
    <col min="8459" max="8459" width="8.28515625" style="5" customWidth="1"/>
    <col min="8460" max="8704" width="9.140625" style="5"/>
    <col min="8705" max="8705" width="5.140625" style="5" customWidth="1"/>
    <col min="8706" max="8706" width="44.140625" style="5" customWidth="1"/>
    <col min="8707" max="8707" width="8.7109375" style="5" customWidth="1"/>
    <col min="8708" max="8709" width="0" style="5" hidden="1" customWidth="1"/>
    <col min="8710" max="8711" width="19.7109375" style="5" customWidth="1"/>
    <col min="8712" max="8712" width="43.42578125" style="5" customWidth="1"/>
    <col min="8713" max="8713" width="11.140625" style="5" customWidth="1"/>
    <col min="8714" max="8714" width="9.140625" style="5"/>
    <col min="8715" max="8715" width="8.28515625" style="5" customWidth="1"/>
    <col min="8716" max="8960" width="9.140625" style="5"/>
    <col min="8961" max="8961" width="5.140625" style="5" customWidth="1"/>
    <col min="8962" max="8962" width="44.140625" style="5" customWidth="1"/>
    <col min="8963" max="8963" width="8.7109375" style="5" customWidth="1"/>
    <col min="8964" max="8965" width="0" style="5" hidden="1" customWidth="1"/>
    <col min="8966" max="8967" width="19.7109375" style="5" customWidth="1"/>
    <col min="8968" max="8968" width="43.42578125" style="5" customWidth="1"/>
    <col min="8969" max="8969" width="11.140625" style="5" customWidth="1"/>
    <col min="8970" max="8970" width="9.140625" style="5"/>
    <col min="8971" max="8971" width="8.28515625" style="5" customWidth="1"/>
    <col min="8972" max="9216" width="9.140625" style="5"/>
    <col min="9217" max="9217" width="5.140625" style="5" customWidth="1"/>
    <col min="9218" max="9218" width="44.140625" style="5" customWidth="1"/>
    <col min="9219" max="9219" width="8.7109375" style="5" customWidth="1"/>
    <col min="9220" max="9221" width="0" style="5" hidden="1" customWidth="1"/>
    <col min="9222" max="9223" width="19.7109375" style="5" customWidth="1"/>
    <col min="9224" max="9224" width="43.42578125" style="5" customWidth="1"/>
    <col min="9225" max="9225" width="11.140625" style="5" customWidth="1"/>
    <col min="9226" max="9226" width="9.140625" style="5"/>
    <col min="9227" max="9227" width="8.28515625" style="5" customWidth="1"/>
    <col min="9228" max="9472" width="9.140625" style="5"/>
    <col min="9473" max="9473" width="5.140625" style="5" customWidth="1"/>
    <col min="9474" max="9474" width="44.140625" style="5" customWidth="1"/>
    <col min="9475" max="9475" width="8.7109375" style="5" customWidth="1"/>
    <col min="9476" max="9477" width="0" style="5" hidden="1" customWidth="1"/>
    <col min="9478" max="9479" width="19.7109375" style="5" customWidth="1"/>
    <col min="9480" max="9480" width="43.42578125" style="5" customWidth="1"/>
    <col min="9481" max="9481" width="11.140625" style="5" customWidth="1"/>
    <col min="9482" max="9482" width="9.140625" style="5"/>
    <col min="9483" max="9483" width="8.28515625" style="5" customWidth="1"/>
    <col min="9484" max="9728" width="9.140625" style="5"/>
    <col min="9729" max="9729" width="5.140625" style="5" customWidth="1"/>
    <col min="9730" max="9730" width="44.140625" style="5" customWidth="1"/>
    <col min="9731" max="9731" width="8.7109375" style="5" customWidth="1"/>
    <col min="9732" max="9733" width="0" style="5" hidden="1" customWidth="1"/>
    <col min="9734" max="9735" width="19.7109375" style="5" customWidth="1"/>
    <col min="9736" max="9736" width="43.42578125" style="5" customWidth="1"/>
    <col min="9737" max="9737" width="11.140625" style="5" customWidth="1"/>
    <col min="9738" max="9738" width="9.140625" style="5"/>
    <col min="9739" max="9739" width="8.28515625" style="5" customWidth="1"/>
    <col min="9740" max="9984" width="9.140625" style="5"/>
    <col min="9985" max="9985" width="5.140625" style="5" customWidth="1"/>
    <col min="9986" max="9986" width="44.140625" style="5" customWidth="1"/>
    <col min="9987" max="9987" width="8.7109375" style="5" customWidth="1"/>
    <col min="9988" max="9989" width="0" style="5" hidden="1" customWidth="1"/>
    <col min="9990" max="9991" width="19.7109375" style="5" customWidth="1"/>
    <col min="9992" max="9992" width="43.42578125" style="5" customWidth="1"/>
    <col min="9993" max="9993" width="11.140625" style="5" customWidth="1"/>
    <col min="9994" max="9994" width="9.140625" style="5"/>
    <col min="9995" max="9995" width="8.28515625" style="5" customWidth="1"/>
    <col min="9996" max="10240" width="9.140625" style="5"/>
    <col min="10241" max="10241" width="5.140625" style="5" customWidth="1"/>
    <col min="10242" max="10242" width="44.140625" style="5" customWidth="1"/>
    <col min="10243" max="10243" width="8.7109375" style="5" customWidth="1"/>
    <col min="10244" max="10245" width="0" style="5" hidden="1" customWidth="1"/>
    <col min="10246" max="10247" width="19.7109375" style="5" customWidth="1"/>
    <col min="10248" max="10248" width="43.42578125" style="5" customWidth="1"/>
    <col min="10249" max="10249" width="11.140625" style="5" customWidth="1"/>
    <col min="10250" max="10250" width="9.140625" style="5"/>
    <col min="10251" max="10251" width="8.28515625" style="5" customWidth="1"/>
    <col min="10252" max="10496" width="9.140625" style="5"/>
    <col min="10497" max="10497" width="5.140625" style="5" customWidth="1"/>
    <col min="10498" max="10498" width="44.140625" style="5" customWidth="1"/>
    <col min="10499" max="10499" width="8.7109375" style="5" customWidth="1"/>
    <col min="10500" max="10501" width="0" style="5" hidden="1" customWidth="1"/>
    <col min="10502" max="10503" width="19.7109375" style="5" customWidth="1"/>
    <col min="10504" max="10504" width="43.42578125" style="5" customWidth="1"/>
    <col min="10505" max="10505" width="11.140625" style="5" customWidth="1"/>
    <col min="10506" max="10506" width="9.140625" style="5"/>
    <col min="10507" max="10507" width="8.28515625" style="5" customWidth="1"/>
    <col min="10508" max="10752" width="9.140625" style="5"/>
    <col min="10753" max="10753" width="5.140625" style="5" customWidth="1"/>
    <col min="10754" max="10754" width="44.140625" style="5" customWidth="1"/>
    <col min="10755" max="10755" width="8.7109375" style="5" customWidth="1"/>
    <col min="10756" max="10757" width="0" style="5" hidden="1" customWidth="1"/>
    <col min="10758" max="10759" width="19.7109375" style="5" customWidth="1"/>
    <col min="10760" max="10760" width="43.42578125" style="5" customWidth="1"/>
    <col min="10761" max="10761" width="11.140625" style="5" customWidth="1"/>
    <col min="10762" max="10762" width="9.140625" style="5"/>
    <col min="10763" max="10763" width="8.28515625" style="5" customWidth="1"/>
    <col min="10764" max="11008" width="9.140625" style="5"/>
    <col min="11009" max="11009" width="5.140625" style="5" customWidth="1"/>
    <col min="11010" max="11010" width="44.140625" style="5" customWidth="1"/>
    <col min="11011" max="11011" width="8.7109375" style="5" customWidth="1"/>
    <col min="11012" max="11013" width="0" style="5" hidden="1" customWidth="1"/>
    <col min="11014" max="11015" width="19.7109375" style="5" customWidth="1"/>
    <col min="11016" max="11016" width="43.42578125" style="5" customWidth="1"/>
    <col min="11017" max="11017" width="11.140625" style="5" customWidth="1"/>
    <col min="11018" max="11018" width="9.140625" style="5"/>
    <col min="11019" max="11019" width="8.28515625" style="5" customWidth="1"/>
    <col min="11020" max="11264" width="9.140625" style="5"/>
    <col min="11265" max="11265" width="5.140625" style="5" customWidth="1"/>
    <col min="11266" max="11266" width="44.140625" style="5" customWidth="1"/>
    <col min="11267" max="11267" width="8.7109375" style="5" customWidth="1"/>
    <col min="11268" max="11269" width="0" style="5" hidden="1" customWidth="1"/>
    <col min="11270" max="11271" width="19.7109375" style="5" customWidth="1"/>
    <col min="11272" max="11272" width="43.42578125" style="5" customWidth="1"/>
    <col min="11273" max="11273" width="11.140625" style="5" customWidth="1"/>
    <col min="11274" max="11274" width="9.140625" style="5"/>
    <col min="11275" max="11275" width="8.28515625" style="5" customWidth="1"/>
    <col min="11276" max="11520" width="9.140625" style="5"/>
    <col min="11521" max="11521" width="5.140625" style="5" customWidth="1"/>
    <col min="11522" max="11522" width="44.140625" style="5" customWidth="1"/>
    <col min="11523" max="11523" width="8.7109375" style="5" customWidth="1"/>
    <col min="11524" max="11525" width="0" style="5" hidden="1" customWidth="1"/>
    <col min="11526" max="11527" width="19.7109375" style="5" customWidth="1"/>
    <col min="11528" max="11528" width="43.42578125" style="5" customWidth="1"/>
    <col min="11529" max="11529" width="11.140625" style="5" customWidth="1"/>
    <col min="11530" max="11530" width="9.140625" style="5"/>
    <col min="11531" max="11531" width="8.28515625" style="5" customWidth="1"/>
    <col min="11532" max="11776" width="9.140625" style="5"/>
    <col min="11777" max="11777" width="5.140625" style="5" customWidth="1"/>
    <col min="11778" max="11778" width="44.140625" style="5" customWidth="1"/>
    <col min="11779" max="11779" width="8.7109375" style="5" customWidth="1"/>
    <col min="11780" max="11781" width="0" style="5" hidden="1" customWidth="1"/>
    <col min="11782" max="11783" width="19.7109375" style="5" customWidth="1"/>
    <col min="11784" max="11784" width="43.42578125" style="5" customWidth="1"/>
    <col min="11785" max="11785" width="11.140625" style="5" customWidth="1"/>
    <col min="11786" max="11786" width="9.140625" style="5"/>
    <col min="11787" max="11787" width="8.28515625" style="5" customWidth="1"/>
    <col min="11788" max="12032" width="9.140625" style="5"/>
    <col min="12033" max="12033" width="5.140625" style="5" customWidth="1"/>
    <col min="12034" max="12034" width="44.140625" style="5" customWidth="1"/>
    <col min="12035" max="12035" width="8.7109375" style="5" customWidth="1"/>
    <col min="12036" max="12037" width="0" style="5" hidden="1" customWidth="1"/>
    <col min="12038" max="12039" width="19.7109375" style="5" customWidth="1"/>
    <col min="12040" max="12040" width="43.42578125" style="5" customWidth="1"/>
    <col min="12041" max="12041" width="11.140625" style="5" customWidth="1"/>
    <col min="12042" max="12042" width="9.140625" style="5"/>
    <col min="12043" max="12043" width="8.28515625" style="5" customWidth="1"/>
    <col min="12044" max="12288" width="9.140625" style="5"/>
    <col min="12289" max="12289" width="5.140625" style="5" customWidth="1"/>
    <col min="12290" max="12290" width="44.140625" style="5" customWidth="1"/>
    <col min="12291" max="12291" width="8.7109375" style="5" customWidth="1"/>
    <col min="12292" max="12293" width="0" style="5" hidden="1" customWidth="1"/>
    <col min="12294" max="12295" width="19.7109375" style="5" customWidth="1"/>
    <col min="12296" max="12296" width="43.42578125" style="5" customWidth="1"/>
    <col min="12297" max="12297" width="11.140625" style="5" customWidth="1"/>
    <col min="12298" max="12298" width="9.140625" style="5"/>
    <col min="12299" max="12299" width="8.28515625" style="5" customWidth="1"/>
    <col min="12300" max="12544" width="9.140625" style="5"/>
    <col min="12545" max="12545" width="5.140625" style="5" customWidth="1"/>
    <col min="12546" max="12546" width="44.140625" style="5" customWidth="1"/>
    <col min="12547" max="12547" width="8.7109375" style="5" customWidth="1"/>
    <col min="12548" max="12549" width="0" style="5" hidden="1" customWidth="1"/>
    <col min="12550" max="12551" width="19.7109375" style="5" customWidth="1"/>
    <col min="12552" max="12552" width="43.42578125" style="5" customWidth="1"/>
    <col min="12553" max="12553" width="11.140625" style="5" customWidth="1"/>
    <col min="12554" max="12554" width="9.140625" style="5"/>
    <col min="12555" max="12555" width="8.28515625" style="5" customWidth="1"/>
    <col min="12556" max="12800" width="9.140625" style="5"/>
    <col min="12801" max="12801" width="5.140625" style="5" customWidth="1"/>
    <col min="12802" max="12802" width="44.140625" style="5" customWidth="1"/>
    <col min="12803" max="12803" width="8.7109375" style="5" customWidth="1"/>
    <col min="12804" max="12805" width="0" style="5" hidden="1" customWidth="1"/>
    <col min="12806" max="12807" width="19.7109375" style="5" customWidth="1"/>
    <col min="12808" max="12808" width="43.42578125" style="5" customWidth="1"/>
    <col min="12809" max="12809" width="11.140625" style="5" customWidth="1"/>
    <col min="12810" max="12810" width="9.140625" style="5"/>
    <col min="12811" max="12811" width="8.28515625" style="5" customWidth="1"/>
    <col min="12812" max="13056" width="9.140625" style="5"/>
    <col min="13057" max="13057" width="5.140625" style="5" customWidth="1"/>
    <col min="13058" max="13058" width="44.140625" style="5" customWidth="1"/>
    <col min="13059" max="13059" width="8.7109375" style="5" customWidth="1"/>
    <col min="13060" max="13061" width="0" style="5" hidden="1" customWidth="1"/>
    <col min="13062" max="13063" width="19.7109375" style="5" customWidth="1"/>
    <col min="13064" max="13064" width="43.42578125" style="5" customWidth="1"/>
    <col min="13065" max="13065" width="11.140625" style="5" customWidth="1"/>
    <col min="13066" max="13066" width="9.140625" style="5"/>
    <col min="13067" max="13067" width="8.28515625" style="5" customWidth="1"/>
    <col min="13068" max="13312" width="9.140625" style="5"/>
    <col min="13313" max="13313" width="5.140625" style="5" customWidth="1"/>
    <col min="13314" max="13314" width="44.140625" style="5" customWidth="1"/>
    <col min="13315" max="13315" width="8.7109375" style="5" customWidth="1"/>
    <col min="13316" max="13317" width="0" style="5" hidden="1" customWidth="1"/>
    <col min="13318" max="13319" width="19.7109375" style="5" customWidth="1"/>
    <col min="13320" max="13320" width="43.42578125" style="5" customWidth="1"/>
    <col min="13321" max="13321" width="11.140625" style="5" customWidth="1"/>
    <col min="13322" max="13322" width="9.140625" style="5"/>
    <col min="13323" max="13323" width="8.28515625" style="5" customWidth="1"/>
    <col min="13324" max="13568" width="9.140625" style="5"/>
    <col min="13569" max="13569" width="5.140625" style="5" customWidth="1"/>
    <col min="13570" max="13570" width="44.140625" style="5" customWidth="1"/>
    <col min="13571" max="13571" width="8.7109375" style="5" customWidth="1"/>
    <col min="13572" max="13573" width="0" style="5" hidden="1" customWidth="1"/>
    <col min="13574" max="13575" width="19.7109375" style="5" customWidth="1"/>
    <col min="13576" max="13576" width="43.42578125" style="5" customWidth="1"/>
    <col min="13577" max="13577" width="11.140625" style="5" customWidth="1"/>
    <col min="13578" max="13578" width="9.140625" style="5"/>
    <col min="13579" max="13579" width="8.28515625" style="5" customWidth="1"/>
    <col min="13580" max="13824" width="9.140625" style="5"/>
    <col min="13825" max="13825" width="5.140625" style="5" customWidth="1"/>
    <col min="13826" max="13826" width="44.140625" style="5" customWidth="1"/>
    <col min="13827" max="13827" width="8.7109375" style="5" customWidth="1"/>
    <col min="13828" max="13829" width="0" style="5" hidden="1" customWidth="1"/>
    <col min="13830" max="13831" width="19.7109375" style="5" customWidth="1"/>
    <col min="13832" max="13832" width="43.42578125" style="5" customWidth="1"/>
    <col min="13833" max="13833" width="11.140625" style="5" customWidth="1"/>
    <col min="13834" max="13834" width="9.140625" style="5"/>
    <col min="13835" max="13835" width="8.28515625" style="5" customWidth="1"/>
    <col min="13836" max="14080" width="9.140625" style="5"/>
    <col min="14081" max="14081" width="5.140625" style="5" customWidth="1"/>
    <col min="14082" max="14082" width="44.140625" style="5" customWidth="1"/>
    <col min="14083" max="14083" width="8.7109375" style="5" customWidth="1"/>
    <col min="14084" max="14085" width="0" style="5" hidden="1" customWidth="1"/>
    <col min="14086" max="14087" width="19.7109375" style="5" customWidth="1"/>
    <col min="14088" max="14088" width="43.42578125" style="5" customWidth="1"/>
    <col min="14089" max="14089" width="11.140625" style="5" customWidth="1"/>
    <col min="14090" max="14090" width="9.140625" style="5"/>
    <col min="14091" max="14091" width="8.28515625" style="5" customWidth="1"/>
    <col min="14092" max="14336" width="9.140625" style="5"/>
    <col min="14337" max="14337" width="5.140625" style="5" customWidth="1"/>
    <col min="14338" max="14338" width="44.140625" style="5" customWidth="1"/>
    <col min="14339" max="14339" width="8.7109375" style="5" customWidth="1"/>
    <col min="14340" max="14341" width="0" style="5" hidden="1" customWidth="1"/>
    <col min="14342" max="14343" width="19.7109375" style="5" customWidth="1"/>
    <col min="14344" max="14344" width="43.42578125" style="5" customWidth="1"/>
    <col min="14345" max="14345" width="11.140625" style="5" customWidth="1"/>
    <col min="14346" max="14346" width="9.140625" style="5"/>
    <col min="14347" max="14347" width="8.28515625" style="5" customWidth="1"/>
    <col min="14348" max="14592" width="9.140625" style="5"/>
    <col min="14593" max="14593" width="5.140625" style="5" customWidth="1"/>
    <col min="14594" max="14594" width="44.140625" style="5" customWidth="1"/>
    <col min="14595" max="14595" width="8.7109375" style="5" customWidth="1"/>
    <col min="14596" max="14597" width="0" style="5" hidden="1" customWidth="1"/>
    <col min="14598" max="14599" width="19.7109375" style="5" customWidth="1"/>
    <col min="14600" max="14600" width="43.42578125" style="5" customWidth="1"/>
    <col min="14601" max="14601" width="11.140625" style="5" customWidth="1"/>
    <col min="14602" max="14602" width="9.140625" style="5"/>
    <col min="14603" max="14603" width="8.28515625" style="5" customWidth="1"/>
    <col min="14604" max="14848" width="9.140625" style="5"/>
    <col min="14849" max="14849" width="5.140625" style="5" customWidth="1"/>
    <col min="14850" max="14850" width="44.140625" style="5" customWidth="1"/>
    <col min="14851" max="14851" width="8.7109375" style="5" customWidth="1"/>
    <col min="14852" max="14853" width="0" style="5" hidden="1" customWidth="1"/>
    <col min="14854" max="14855" width="19.7109375" style="5" customWidth="1"/>
    <col min="14856" max="14856" width="43.42578125" style="5" customWidth="1"/>
    <col min="14857" max="14857" width="11.140625" style="5" customWidth="1"/>
    <col min="14858" max="14858" width="9.140625" style="5"/>
    <col min="14859" max="14859" width="8.28515625" style="5" customWidth="1"/>
    <col min="14860" max="15104" width="9.140625" style="5"/>
    <col min="15105" max="15105" width="5.140625" style="5" customWidth="1"/>
    <col min="15106" max="15106" width="44.140625" style="5" customWidth="1"/>
    <col min="15107" max="15107" width="8.7109375" style="5" customWidth="1"/>
    <col min="15108" max="15109" width="0" style="5" hidden="1" customWidth="1"/>
    <col min="15110" max="15111" width="19.7109375" style="5" customWidth="1"/>
    <col min="15112" max="15112" width="43.42578125" style="5" customWidth="1"/>
    <col min="15113" max="15113" width="11.140625" style="5" customWidth="1"/>
    <col min="15114" max="15114" width="9.140625" style="5"/>
    <col min="15115" max="15115" width="8.28515625" style="5" customWidth="1"/>
    <col min="15116" max="15360" width="9.140625" style="5"/>
    <col min="15361" max="15361" width="5.140625" style="5" customWidth="1"/>
    <col min="15362" max="15362" width="44.140625" style="5" customWidth="1"/>
    <col min="15363" max="15363" width="8.7109375" style="5" customWidth="1"/>
    <col min="15364" max="15365" width="0" style="5" hidden="1" customWidth="1"/>
    <col min="15366" max="15367" width="19.7109375" style="5" customWidth="1"/>
    <col min="15368" max="15368" width="43.42578125" style="5" customWidth="1"/>
    <col min="15369" max="15369" width="11.140625" style="5" customWidth="1"/>
    <col min="15370" max="15370" width="9.140625" style="5"/>
    <col min="15371" max="15371" width="8.28515625" style="5" customWidth="1"/>
    <col min="15372" max="15616" width="9.140625" style="5"/>
    <col min="15617" max="15617" width="5.140625" style="5" customWidth="1"/>
    <col min="15618" max="15618" width="44.140625" style="5" customWidth="1"/>
    <col min="15619" max="15619" width="8.7109375" style="5" customWidth="1"/>
    <col min="15620" max="15621" width="0" style="5" hidden="1" customWidth="1"/>
    <col min="15622" max="15623" width="19.7109375" style="5" customWidth="1"/>
    <col min="15624" max="15624" width="43.42578125" style="5" customWidth="1"/>
    <col min="15625" max="15625" width="11.140625" style="5" customWidth="1"/>
    <col min="15626" max="15626" width="9.140625" style="5"/>
    <col min="15627" max="15627" width="8.28515625" style="5" customWidth="1"/>
    <col min="15628" max="15872" width="9.140625" style="5"/>
    <col min="15873" max="15873" width="5.140625" style="5" customWidth="1"/>
    <col min="15874" max="15874" width="44.140625" style="5" customWidth="1"/>
    <col min="15875" max="15875" width="8.7109375" style="5" customWidth="1"/>
    <col min="15876" max="15877" width="0" style="5" hidden="1" customWidth="1"/>
    <col min="15878" max="15879" width="19.7109375" style="5" customWidth="1"/>
    <col min="15880" max="15880" width="43.42578125" style="5" customWidth="1"/>
    <col min="15881" max="15881" width="11.140625" style="5" customWidth="1"/>
    <col min="15882" max="15882" width="9.140625" style="5"/>
    <col min="15883" max="15883" width="8.28515625" style="5" customWidth="1"/>
    <col min="15884" max="16128" width="9.140625" style="5"/>
    <col min="16129" max="16129" width="5.140625" style="5" customWidth="1"/>
    <col min="16130" max="16130" width="44.140625" style="5" customWidth="1"/>
    <col min="16131" max="16131" width="8.7109375" style="5" customWidth="1"/>
    <col min="16132" max="16133" width="0" style="5" hidden="1" customWidth="1"/>
    <col min="16134" max="16135" width="19.7109375" style="5" customWidth="1"/>
    <col min="16136" max="16136" width="43.42578125" style="5" customWidth="1"/>
    <col min="16137" max="16137" width="11.140625" style="5" customWidth="1"/>
    <col min="16138" max="16138" width="9.140625" style="5"/>
    <col min="16139" max="16139" width="8.28515625" style="5" customWidth="1"/>
    <col min="16140" max="16384" width="9.140625" style="5"/>
  </cols>
  <sheetData>
    <row r="1" spans="1:20" ht="21" customHeight="1" x14ac:dyDescent="0.25">
      <c r="A1" s="1" t="s">
        <v>0</v>
      </c>
      <c r="C1" s="1"/>
      <c r="D1" s="1"/>
      <c r="E1" s="1"/>
      <c r="F1" s="1"/>
      <c r="G1" s="1"/>
      <c r="H1" s="3" t="s">
        <v>1</v>
      </c>
    </row>
    <row r="2" spans="1:20" ht="19.5" customHeight="1" x14ac:dyDescent="0.2">
      <c r="B2" s="1"/>
      <c r="C2" s="1"/>
      <c r="D2" s="1"/>
      <c r="E2" s="1"/>
      <c r="F2" s="1"/>
      <c r="G2" s="1"/>
      <c r="H2" s="3" t="s">
        <v>2</v>
      </c>
      <c r="I2" s="7"/>
    </row>
    <row r="3" spans="1:20" ht="22.5" customHeight="1" x14ac:dyDescent="0.25">
      <c r="B3" s="1"/>
      <c r="C3" s="1"/>
      <c r="D3" s="1"/>
      <c r="E3" s="1"/>
      <c r="F3" s="1"/>
      <c r="G3" s="1"/>
      <c r="H3" s="8" t="s">
        <v>3</v>
      </c>
    </row>
    <row r="4" spans="1:20" ht="24.75" customHeight="1" x14ac:dyDescent="0.25">
      <c r="B4" s="1"/>
      <c r="C4" s="1"/>
      <c r="D4" s="1"/>
      <c r="E4" s="1"/>
      <c r="F4" s="1"/>
      <c r="G4" s="1"/>
      <c r="H4" s="9" t="s">
        <v>4</v>
      </c>
    </row>
    <row r="5" spans="1:20" x14ac:dyDescent="0.25">
      <c r="A5" s="1"/>
      <c r="B5" s="10"/>
      <c r="C5" s="10"/>
      <c r="D5" s="8"/>
      <c r="E5" s="8"/>
      <c r="F5" s="8"/>
      <c r="G5" s="8"/>
    </row>
    <row r="7" spans="1:20" ht="18.75" x14ac:dyDescent="0.3">
      <c r="A7" s="11" t="s">
        <v>5</v>
      </c>
      <c r="B7" s="11"/>
      <c r="C7" s="11"/>
      <c r="D7" s="11"/>
      <c r="E7" s="11"/>
      <c r="F7" s="11"/>
      <c r="G7" s="11"/>
      <c r="H7" s="12"/>
    </row>
    <row r="8" spans="1:20" s="14" customFormat="1" ht="18.75" x14ac:dyDescent="0.2">
      <c r="A8" s="13" t="s">
        <v>6</v>
      </c>
      <c r="B8" s="13"/>
      <c r="C8" s="13"/>
      <c r="D8" s="13"/>
      <c r="E8" s="13"/>
      <c r="F8" s="13"/>
      <c r="G8" s="13"/>
      <c r="H8" s="13"/>
    </row>
    <row r="9" spans="1:20" ht="18.75" x14ac:dyDescent="0.3">
      <c r="A9" s="11" t="s">
        <v>7</v>
      </c>
      <c r="B9" s="11"/>
      <c r="C9" s="11"/>
      <c r="D9" s="11"/>
      <c r="E9" s="11"/>
      <c r="F9" s="11"/>
      <c r="G9" s="11"/>
      <c r="H9" s="12"/>
    </row>
    <row r="10" spans="1:20" ht="18.75" x14ac:dyDescent="0.3">
      <c r="A10" s="11" t="s">
        <v>8</v>
      </c>
      <c r="B10" s="11"/>
      <c r="C10" s="11"/>
      <c r="D10" s="11"/>
      <c r="E10" s="11"/>
      <c r="F10" s="11"/>
      <c r="G10" s="11"/>
      <c r="H10" s="12"/>
    </row>
    <row r="13" spans="1:20" s="14" customFormat="1" x14ac:dyDescent="0.2">
      <c r="A13" s="16"/>
      <c r="B13" s="17"/>
      <c r="C13" s="17"/>
      <c r="D13" s="16"/>
      <c r="E13" s="16"/>
      <c r="F13" s="16"/>
      <c r="G13" s="16"/>
    </row>
    <row r="14" spans="1:20" s="16" customFormat="1" ht="15.75" customHeight="1" x14ac:dyDescent="0.2">
      <c r="A14" s="18" t="s">
        <v>9</v>
      </c>
      <c r="B14" s="18" t="s">
        <v>10</v>
      </c>
      <c r="C14" s="18" t="s">
        <v>11</v>
      </c>
      <c r="D14" s="19" t="s">
        <v>12</v>
      </c>
      <c r="E14" s="19" t="s">
        <v>12</v>
      </c>
      <c r="F14" s="19" t="s">
        <v>13</v>
      </c>
      <c r="G14" s="19" t="s">
        <v>14</v>
      </c>
      <c r="H14" s="19" t="s">
        <v>15</v>
      </c>
      <c r="I14" s="19" t="s">
        <v>16</v>
      </c>
    </row>
    <row r="15" spans="1:20" s="16" customFormat="1" ht="57" customHeight="1" x14ac:dyDescent="0.2">
      <c r="A15" s="20"/>
      <c r="B15" s="20"/>
      <c r="C15" s="20"/>
      <c r="D15" s="19"/>
      <c r="E15" s="19"/>
      <c r="F15" s="19"/>
      <c r="G15" s="19"/>
      <c r="H15" s="19"/>
      <c r="I15" s="19"/>
    </row>
    <row r="16" spans="1:20" s="31" customFormat="1" ht="47.25" x14ac:dyDescent="0.2">
      <c r="A16" s="21">
        <v>1</v>
      </c>
      <c r="B16" s="22" t="str">
        <f>[1]расчёт_ОЦТАр!B16</f>
        <v>Смена сувальдных замков (врезных и накладных) или шпингалетов дверных врезных</v>
      </c>
      <c r="C16" s="23" t="s">
        <v>17</v>
      </c>
      <c r="D16" s="24">
        <f>[1]расчёт_ОЦТАр!R16</f>
        <v>20</v>
      </c>
      <c r="E16" s="24">
        <f>11262*1.005</f>
        <v>11318.31</v>
      </c>
      <c r="F16" s="25">
        <v>22.523883423305854</v>
      </c>
      <c r="G16" s="25">
        <f t="shared" ref="G16:G47" si="0">F16*1.2</f>
        <v>27.028660107967024</v>
      </c>
      <c r="H16" s="26" t="s">
        <v>18</v>
      </c>
      <c r="I16" s="27" t="s">
        <v>19</v>
      </c>
      <c r="J16" s="28">
        <v>3010</v>
      </c>
      <c r="K16" s="29" t="e">
        <f>D16/#REF!</f>
        <v>#REF!</v>
      </c>
      <c r="L16" s="30" t="e">
        <f>#REF!*1.005</f>
        <v>#REF!</v>
      </c>
      <c r="M16" s="30"/>
      <c r="N16" s="30"/>
      <c r="O16" s="30"/>
      <c r="P16" s="30"/>
      <c r="Q16" s="30"/>
      <c r="R16" s="30"/>
      <c r="S16" s="30"/>
      <c r="T16" s="30"/>
    </row>
    <row r="17" spans="1:20" s="31" customFormat="1" ht="47.25" x14ac:dyDescent="0.2">
      <c r="A17" s="21">
        <v>2</v>
      </c>
      <c r="B17" s="22" t="str">
        <f>[1]расчёт_ОЦТАр!B17</f>
        <v>Остекленение деревянных оконных переплётов и дверных полотен стеклом 4-6 мм при пл. стекла до 0,5 м2</v>
      </c>
      <c r="C17" s="23" t="s">
        <v>20</v>
      </c>
      <c r="D17" s="24">
        <f>[1]расчёт_ОЦТАр!R17</f>
        <v>10</v>
      </c>
      <c r="E17" s="24">
        <f>4070*1.005</f>
        <v>4090.3499999999995</v>
      </c>
      <c r="F17" s="25">
        <v>8.138882245396232</v>
      </c>
      <c r="G17" s="25">
        <f t="shared" si="0"/>
        <v>9.7666586944754776</v>
      </c>
      <c r="H17" s="26" t="s">
        <v>21</v>
      </c>
      <c r="I17" s="23" t="s">
        <v>22</v>
      </c>
      <c r="J17" s="28">
        <v>1090</v>
      </c>
      <c r="K17" s="29" t="e">
        <f>D17/#REF!</f>
        <v>#REF!</v>
      </c>
      <c r="L17" s="30"/>
      <c r="M17" s="30"/>
      <c r="N17" s="30"/>
      <c r="O17" s="30"/>
      <c r="P17" s="30"/>
      <c r="Q17" s="30"/>
      <c r="R17" s="30"/>
      <c r="S17" s="30"/>
      <c r="T17" s="30"/>
    </row>
    <row r="18" spans="1:20" s="31" customFormat="1" ht="63" x14ac:dyDescent="0.2">
      <c r="A18" s="21">
        <v>3</v>
      </c>
      <c r="B18" s="22" t="str">
        <f>[1]расчёт_ОЦТАр!B18</f>
        <v>Остекленение деревянных оконных переплётов и дверных полотен стеклом 4-6 мм при пл. стекла свыше 0,5 м2 до 1 м2</v>
      </c>
      <c r="C18" s="23" t="s">
        <v>20</v>
      </c>
      <c r="D18" s="24">
        <f>[1]расчёт_ОЦТАр!R18</f>
        <v>10</v>
      </c>
      <c r="E18" s="24">
        <f>3596*1.005</f>
        <v>3613.9799999999996</v>
      </c>
      <c r="F18" s="25">
        <v>7.1925005889548084</v>
      </c>
      <c r="G18" s="25">
        <f t="shared" si="0"/>
        <v>8.6310007067457697</v>
      </c>
      <c r="H18" s="26" t="s">
        <v>21</v>
      </c>
      <c r="I18" s="23" t="s">
        <v>23</v>
      </c>
      <c r="J18" s="28">
        <v>960</v>
      </c>
      <c r="K18" s="29" t="e">
        <f>D18/#REF!</f>
        <v>#REF!</v>
      </c>
      <c r="L18" s="30"/>
      <c r="M18" s="30"/>
      <c r="N18" s="30"/>
      <c r="O18" s="30"/>
      <c r="P18" s="30"/>
      <c r="Q18" s="30"/>
      <c r="R18" s="30"/>
      <c r="S18" s="30"/>
      <c r="T18" s="30"/>
    </row>
    <row r="19" spans="1:20" s="31" customFormat="1" ht="47.25" x14ac:dyDescent="0.2">
      <c r="A19" s="21">
        <v>4</v>
      </c>
      <c r="B19" s="22" t="str">
        <f>[1]расчёт_ОЦТАр!B19</f>
        <v xml:space="preserve">Выемка целых стёкол из деревянных переплётов при площади стекла свыше 0,5 м2 до 1 м2 </v>
      </c>
      <c r="C19" s="23" t="s">
        <v>20</v>
      </c>
      <c r="D19" s="24">
        <f>[1]расчёт_ОЦТАр!R19</f>
        <v>10</v>
      </c>
      <c r="E19" s="24">
        <f>4404*1.005</f>
        <v>4426.0199999999995</v>
      </c>
      <c r="F19" s="25">
        <v>10.499479509199176</v>
      </c>
      <c r="G19" s="25">
        <f t="shared" si="0"/>
        <v>12.599375411039011</v>
      </c>
      <c r="H19" s="26" t="s">
        <v>24</v>
      </c>
      <c r="I19" s="23" t="s">
        <v>25</v>
      </c>
      <c r="J19" s="28">
        <v>1180</v>
      </c>
      <c r="K19" s="29" t="e">
        <f>D19/#REF!</f>
        <v>#REF!</v>
      </c>
      <c r="L19" s="30"/>
      <c r="M19" s="30"/>
      <c r="N19" s="30"/>
      <c r="O19" s="30"/>
      <c r="P19" s="30"/>
      <c r="Q19" s="30"/>
      <c r="R19" s="30"/>
      <c r="S19" s="30"/>
      <c r="T19" s="30"/>
    </row>
    <row r="20" spans="1:20" s="31" customFormat="1" ht="47.25" x14ac:dyDescent="0.2">
      <c r="A20" s="21">
        <v>5</v>
      </c>
      <c r="B20" s="22" t="str">
        <f>[1]расчёт_ОЦТАр!B20</f>
        <v xml:space="preserve">Выемка целых стёкол из деревянных переплётов при площади стекла до 0,5 м2 </v>
      </c>
      <c r="C20" s="23" t="s">
        <v>26</v>
      </c>
      <c r="D20" s="24">
        <f>[1]расчёт_ОЦТАр!R20</f>
        <v>10</v>
      </c>
      <c r="E20" s="24">
        <f>6151*1.005</f>
        <v>6181.7549999999992</v>
      </c>
      <c r="F20" s="25">
        <v>14.665939631897261</v>
      </c>
      <c r="G20" s="25">
        <f t="shared" si="0"/>
        <v>17.599127558276713</v>
      </c>
      <c r="H20" s="26" t="s">
        <v>24</v>
      </c>
      <c r="I20" s="23" t="s">
        <v>27</v>
      </c>
      <c r="J20" s="28">
        <v>1640</v>
      </c>
      <c r="K20" s="29" t="e">
        <f>D20/#REF!</f>
        <v>#REF!</v>
      </c>
      <c r="L20" s="30"/>
      <c r="M20" s="30"/>
      <c r="N20" s="30"/>
      <c r="O20" s="30"/>
      <c r="P20" s="30"/>
      <c r="Q20" s="30"/>
      <c r="R20" s="30"/>
      <c r="S20" s="30"/>
      <c r="T20" s="30"/>
    </row>
    <row r="21" spans="1:20" s="31" customFormat="1" ht="47.25" x14ac:dyDescent="0.2">
      <c r="A21" s="21">
        <v>6</v>
      </c>
      <c r="B21" s="22" t="str">
        <f>[1]расчёт_ОЦТАр!B21</f>
        <v xml:space="preserve">Удаление битых стёкол из деревянных переплётов при площади стекла свыше 0,5 м2 до 1 м2 </v>
      </c>
      <c r="C21" s="23" t="s">
        <v>26</v>
      </c>
      <c r="D21" s="24">
        <f>[1]расчёт_ОЦТАр!R21</f>
        <v>0</v>
      </c>
      <c r="E21" s="24">
        <f>1858*1.005</f>
        <v>1867.2899999999997</v>
      </c>
      <c r="F21" s="25">
        <v>4.8330937423297797</v>
      </c>
      <c r="G21" s="25">
        <f t="shared" si="0"/>
        <v>5.7997124907957351</v>
      </c>
      <c r="H21" s="26" t="s">
        <v>24</v>
      </c>
      <c r="I21" s="23" t="s">
        <v>28</v>
      </c>
      <c r="J21" s="28">
        <v>540</v>
      </c>
      <c r="K21" s="29" t="e">
        <f>D21/#REF!</f>
        <v>#REF!</v>
      </c>
      <c r="L21" s="30"/>
      <c r="M21" s="30"/>
      <c r="N21" s="30"/>
      <c r="O21" s="30"/>
      <c r="P21" s="30"/>
      <c r="Q21" s="30"/>
      <c r="R21" s="30"/>
      <c r="S21" s="30"/>
      <c r="T21" s="30"/>
    </row>
    <row r="22" spans="1:20" s="31" customFormat="1" ht="47.25" x14ac:dyDescent="0.2">
      <c r="A22" s="21">
        <v>7</v>
      </c>
      <c r="B22" s="22" t="str">
        <f>[1]расчёт_ОЦТАр!B22</f>
        <v>Удаление битых стёкол из деревянных переплётов при площади стекла свыше 0,25 м2 до 0,5 м2</v>
      </c>
      <c r="C22" s="23" t="s">
        <v>26</v>
      </c>
      <c r="D22" s="24">
        <f>[1]расчёт_ОЦТАр!R22</f>
        <v>10</v>
      </c>
      <c r="E22" s="24">
        <f>2686*1.005</f>
        <v>2699.43</v>
      </c>
      <c r="F22" s="25">
        <v>6.9996530061327835</v>
      </c>
      <c r="G22" s="25">
        <f t="shared" si="0"/>
        <v>8.3995836073593395</v>
      </c>
      <c r="H22" s="26" t="s">
        <v>24</v>
      </c>
      <c r="I22" s="23" t="s">
        <v>29</v>
      </c>
      <c r="J22" s="28">
        <v>780</v>
      </c>
      <c r="K22" s="29" t="e">
        <f>D22/#REF!</f>
        <v>#REF!</v>
      </c>
      <c r="L22" s="30"/>
      <c r="M22" s="30"/>
      <c r="N22" s="30"/>
      <c r="O22" s="30"/>
      <c r="P22" s="30"/>
      <c r="Q22" s="30"/>
      <c r="R22" s="30"/>
      <c r="S22" s="30"/>
      <c r="T22" s="30"/>
    </row>
    <row r="23" spans="1:20" s="31" customFormat="1" ht="47.25" x14ac:dyDescent="0.2">
      <c r="A23" s="21">
        <v>8</v>
      </c>
      <c r="B23" s="22" t="str">
        <f>[1]расчёт_ОЦТАр!B23</f>
        <v>Перегруппировка секций старого радиатора (до 7 секций) или замена его средних секций</v>
      </c>
      <c r="C23" s="23" t="s">
        <v>30</v>
      </c>
      <c r="D23" s="24">
        <f>[1]расчёт_ОЦТАр!R23</f>
        <v>60</v>
      </c>
      <c r="E23" s="24">
        <f>23867*1.005</f>
        <v>23986.334999999999</v>
      </c>
      <c r="F23" s="25">
        <v>59.425625521453838</v>
      </c>
      <c r="G23" s="25">
        <f t="shared" si="0"/>
        <v>71.310750625744603</v>
      </c>
      <c r="H23" s="26" t="s">
        <v>31</v>
      </c>
      <c r="I23" s="23" t="s">
        <v>32</v>
      </c>
      <c r="J23" s="28">
        <v>6950</v>
      </c>
      <c r="K23" s="29" t="e">
        <f>D23/#REF!</f>
        <v>#REF!</v>
      </c>
      <c r="L23" s="30"/>
      <c r="M23" s="30"/>
      <c r="N23" s="30"/>
      <c r="O23" s="30"/>
      <c r="P23" s="30"/>
      <c r="Q23" s="30"/>
      <c r="R23" s="30"/>
      <c r="S23" s="30"/>
      <c r="T23" s="30"/>
    </row>
    <row r="24" spans="1:20" s="31" customFormat="1" ht="38.25" x14ac:dyDescent="0.2">
      <c r="A24" s="21">
        <v>9</v>
      </c>
      <c r="B24" s="22" t="str">
        <f>[1]расчёт_ОЦТАр!B24</f>
        <v>Добавление крайней секции к радиатору</v>
      </c>
      <c r="C24" s="23" t="s">
        <v>30</v>
      </c>
      <c r="D24" s="24">
        <f>[1]расчёт_ОЦТАр!R24</f>
        <v>40</v>
      </c>
      <c r="E24" s="24">
        <f>15292*1.005</f>
        <v>15368.46</v>
      </c>
      <c r="F24" s="25">
        <v>38.069541349681373</v>
      </c>
      <c r="G24" s="25">
        <f t="shared" si="0"/>
        <v>45.683449619617647</v>
      </c>
      <c r="H24" s="26" t="s">
        <v>33</v>
      </c>
      <c r="I24" s="23" t="s">
        <v>34</v>
      </c>
      <c r="J24" s="28">
        <v>4450</v>
      </c>
      <c r="K24" s="29" t="e">
        <f>D24/#REF!</f>
        <v>#REF!</v>
      </c>
      <c r="L24" s="30"/>
      <c r="M24" s="30"/>
      <c r="N24" s="30"/>
      <c r="O24" s="30"/>
      <c r="P24" s="30"/>
      <c r="Q24" s="30"/>
      <c r="R24" s="30"/>
      <c r="S24" s="30"/>
      <c r="T24" s="30"/>
    </row>
    <row r="25" spans="1:20" s="31" customFormat="1" ht="25.5" x14ac:dyDescent="0.2">
      <c r="A25" s="21">
        <v>10</v>
      </c>
      <c r="B25" s="22" t="str">
        <f>[1]расчёт_ОЦТАр!B25</f>
        <v xml:space="preserve">Смена отопительного прибора </v>
      </c>
      <c r="C25" s="23" t="s">
        <v>35</v>
      </c>
      <c r="D25" s="24">
        <f>[1]расчёт_ОЦТАр!R25</f>
        <v>40</v>
      </c>
      <c r="E25" s="24">
        <f>20291*1.005</f>
        <v>20392.454999999998</v>
      </c>
      <c r="F25" s="25">
        <v>44.29066152145856</v>
      </c>
      <c r="G25" s="25">
        <f t="shared" si="0"/>
        <v>53.148793825750268</v>
      </c>
      <c r="H25" s="26" t="s">
        <v>36</v>
      </c>
      <c r="I25" s="23" t="s">
        <v>37</v>
      </c>
      <c r="J25" s="28">
        <v>5910</v>
      </c>
      <c r="K25" s="29" t="e">
        <f>D25/#REF!</f>
        <v>#REF!</v>
      </c>
      <c r="L25" s="30">
        <f>58550*0.6</f>
        <v>35130</v>
      </c>
      <c r="M25" s="30"/>
      <c r="N25" s="30"/>
      <c r="O25" s="30"/>
      <c r="P25" s="30"/>
      <c r="Q25" s="30"/>
      <c r="R25" s="30"/>
      <c r="S25" s="30"/>
      <c r="T25" s="30"/>
    </row>
    <row r="26" spans="1:20" s="31" customFormat="1" ht="31.5" x14ac:dyDescent="0.2">
      <c r="A26" s="21">
        <v>11</v>
      </c>
      <c r="B26" s="22" t="str">
        <f>[1]расчёт_ОЦТАр!B26</f>
        <v>Смена раковины</v>
      </c>
      <c r="C26" s="23" t="s">
        <v>17</v>
      </c>
      <c r="D26" s="24">
        <f>[1]расчёт_ОЦТАр!R26</f>
        <v>20</v>
      </c>
      <c r="E26" s="24">
        <f>10928*1.005</f>
        <v>10982.64</v>
      </c>
      <c r="F26" s="25">
        <v>23.848817742323845</v>
      </c>
      <c r="G26" s="25">
        <f t="shared" si="0"/>
        <v>28.618581290788615</v>
      </c>
      <c r="H26" s="26" t="s">
        <v>38</v>
      </c>
      <c r="I26" s="32" t="s">
        <v>39</v>
      </c>
      <c r="J26" s="28">
        <v>3180</v>
      </c>
      <c r="K26" s="29" t="e">
        <f>D26/#REF!</f>
        <v>#REF!</v>
      </c>
      <c r="L26" s="30"/>
      <c r="M26" s="30"/>
      <c r="N26" s="30"/>
      <c r="O26" s="30"/>
      <c r="P26" s="30"/>
      <c r="Q26" s="30"/>
      <c r="R26" s="30"/>
      <c r="S26" s="30"/>
      <c r="T26" s="30"/>
    </row>
    <row r="27" spans="1:20" s="31" customFormat="1" ht="31.5" x14ac:dyDescent="0.2">
      <c r="A27" s="21">
        <v>12</v>
      </c>
      <c r="B27" s="22" t="str">
        <f>[1]расчёт_ОЦТАр!B27</f>
        <v>Смена мойки на одно отделение</v>
      </c>
      <c r="C27" s="23" t="s">
        <v>17</v>
      </c>
      <c r="D27" s="24">
        <f>[1]расчёт_ОЦТАр!R27</f>
        <v>40</v>
      </c>
      <c r="E27" s="24">
        <f>18211*1.005</f>
        <v>18302.054999999997</v>
      </c>
      <c r="F27" s="25">
        <v>39.748029570539749</v>
      </c>
      <c r="G27" s="25">
        <f t="shared" si="0"/>
        <v>47.697635484647698</v>
      </c>
      <c r="H27" s="26" t="s">
        <v>38</v>
      </c>
      <c r="I27" s="32" t="s">
        <v>40</v>
      </c>
      <c r="J27" s="28">
        <v>5300</v>
      </c>
      <c r="K27" s="29" t="e">
        <f>D27/#REF!</f>
        <v>#REF!</v>
      </c>
      <c r="L27" s="30"/>
      <c r="M27" s="30"/>
      <c r="N27" s="30"/>
      <c r="O27" s="30"/>
      <c r="P27" s="30"/>
      <c r="Q27" s="30"/>
      <c r="R27" s="30"/>
      <c r="S27" s="30"/>
      <c r="T27" s="30"/>
    </row>
    <row r="28" spans="1:20" s="31" customFormat="1" ht="31.5" x14ac:dyDescent="0.2">
      <c r="A28" s="21">
        <v>13</v>
      </c>
      <c r="B28" s="22" t="str">
        <f>[1]расчёт_ОЦТАр!B28</f>
        <v>Смена ванны</v>
      </c>
      <c r="C28" s="23" t="s">
        <v>17</v>
      </c>
      <c r="D28" s="24">
        <f>[1]расчёт_ОЦТАр!R28</f>
        <v>100</v>
      </c>
      <c r="E28" s="24">
        <f>43623*1.005</f>
        <v>43841.114999999998</v>
      </c>
      <c r="F28" s="25">
        <v>95.205994638007112</v>
      </c>
      <c r="G28" s="25">
        <f t="shared" si="0"/>
        <v>114.24719356560853</v>
      </c>
      <c r="H28" s="26" t="s">
        <v>38</v>
      </c>
      <c r="I28" s="23" t="s">
        <v>41</v>
      </c>
      <c r="J28" s="28">
        <v>12710</v>
      </c>
      <c r="K28" s="29" t="e">
        <f>D28/#REF!</f>
        <v>#REF!</v>
      </c>
      <c r="L28" s="30"/>
      <c r="M28" s="30"/>
      <c r="N28" s="30"/>
      <c r="O28" s="30"/>
      <c r="P28" s="30"/>
      <c r="Q28" s="30"/>
      <c r="R28" s="30"/>
      <c r="S28" s="30"/>
      <c r="T28" s="30"/>
    </row>
    <row r="29" spans="1:20" s="31" customFormat="1" ht="31.5" x14ac:dyDescent="0.2">
      <c r="A29" s="21">
        <v>14</v>
      </c>
      <c r="B29" s="22" t="str">
        <f>[1]расчёт_ОЦТАр!B29</f>
        <v>Смена смесителя для ванны</v>
      </c>
      <c r="C29" s="23" t="s">
        <v>42</v>
      </c>
      <c r="D29" s="24">
        <f>[1]расчёт_ОЦТАр!R29</f>
        <v>20</v>
      </c>
      <c r="E29" s="24">
        <f>11272*1.005</f>
        <v>11328.359999999999</v>
      </c>
      <c r="F29" s="25">
        <v>24.605923067476979</v>
      </c>
      <c r="G29" s="25">
        <f t="shared" si="0"/>
        <v>29.527107680972374</v>
      </c>
      <c r="H29" s="26" t="s">
        <v>43</v>
      </c>
      <c r="I29" s="23" t="s">
        <v>44</v>
      </c>
      <c r="J29" s="28">
        <v>3280</v>
      </c>
      <c r="K29" s="29" t="e">
        <f>D29/#REF!</f>
        <v>#REF!</v>
      </c>
      <c r="L29" s="30"/>
      <c r="M29" s="30"/>
      <c r="N29" s="30"/>
      <c r="O29" s="30"/>
      <c r="P29" s="30"/>
      <c r="Q29" s="30"/>
      <c r="R29" s="30"/>
      <c r="S29" s="30"/>
      <c r="T29" s="30"/>
    </row>
    <row r="30" spans="1:20" s="31" customFormat="1" ht="38.25" x14ac:dyDescent="0.2">
      <c r="A30" s="21">
        <v>15</v>
      </c>
      <c r="B30" s="22" t="str">
        <f>[1]расчёт_ОЦТАр!B30</f>
        <v>Ремонт смывного бочка с регулировкой на месте</v>
      </c>
      <c r="C30" s="23" t="s">
        <v>35</v>
      </c>
      <c r="D30" s="24">
        <f>[1]расчёт_ОЦТАр!R30</f>
        <v>20</v>
      </c>
      <c r="E30" s="24">
        <f>7374*1.005</f>
        <v>7410.869999999999</v>
      </c>
      <c r="F30" s="25">
        <v>16.08848815950418</v>
      </c>
      <c r="G30" s="25">
        <f t="shared" si="0"/>
        <v>19.306185791405017</v>
      </c>
      <c r="H30" s="26" t="s">
        <v>45</v>
      </c>
      <c r="I30" s="23" t="s">
        <v>46</v>
      </c>
      <c r="J30" s="28">
        <v>2140</v>
      </c>
      <c r="K30" s="29" t="e">
        <f>D30/#REF!</f>
        <v>#REF!</v>
      </c>
      <c r="L30" s="30"/>
      <c r="M30" s="30"/>
      <c r="N30" s="30"/>
      <c r="O30" s="30"/>
      <c r="P30" s="30"/>
      <c r="Q30" s="30"/>
      <c r="R30" s="30"/>
      <c r="S30" s="30"/>
      <c r="T30" s="30"/>
    </row>
    <row r="31" spans="1:20" s="31" customFormat="1" ht="31.5" x14ac:dyDescent="0.2">
      <c r="A31" s="21">
        <v>16</v>
      </c>
      <c r="B31" s="22" t="str">
        <f>[1]расчёт_ОЦТАр!B31</f>
        <v>Регулировка смывного бочка без ремонта</v>
      </c>
      <c r="C31" s="23" t="s">
        <v>35</v>
      </c>
      <c r="D31" s="24">
        <f>[1]расчёт_ОЦТАр!R31</f>
        <v>0</v>
      </c>
      <c r="E31" s="24">
        <f>1738*1.005</f>
        <v>1746.6899999999998</v>
      </c>
      <c r="F31" s="25">
        <v>3.7855266257656903</v>
      </c>
      <c r="G31" s="25">
        <f t="shared" si="0"/>
        <v>4.5426319509188282</v>
      </c>
      <c r="H31" s="26" t="s">
        <v>47</v>
      </c>
      <c r="I31" s="23" t="s">
        <v>48</v>
      </c>
      <c r="J31" s="28">
        <v>500</v>
      </c>
      <c r="K31" s="29" t="e">
        <f>D31/#REF!</f>
        <v>#REF!</v>
      </c>
      <c r="L31" s="30"/>
      <c r="M31" s="30"/>
      <c r="N31" s="30"/>
      <c r="O31" s="30"/>
      <c r="P31" s="30"/>
      <c r="Q31" s="30"/>
      <c r="R31" s="30"/>
      <c r="S31" s="30"/>
      <c r="T31" s="30"/>
    </row>
    <row r="32" spans="1:20" s="31" customFormat="1" ht="38.25" x14ac:dyDescent="0.2">
      <c r="A32" s="21">
        <v>17</v>
      </c>
      <c r="B32" s="22" t="str">
        <f>[1]расчёт_ОЦТАр!B32</f>
        <v>Прочистка трубопроводов внутренней канализации</v>
      </c>
      <c r="C32" s="23" t="s">
        <v>49</v>
      </c>
      <c r="D32" s="24">
        <f>[1]расчёт_ОЦТАр!R32</f>
        <v>0</v>
      </c>
      <c r="E32" s="24">
        <f>1728*1.005</f>
        <v>1736.6399999999999</v>
      </c>
      <c r="F32" s="25">
        <v>4.4997769325139325</v>
      </c>
      <c r="G32" s="25">
        <f t="shared" si="0"/>
        <v>5.399732319016719</v>
      </c>
      <c r="H32" s="26" t="s">
        <v>50</v>
      </c>
      <c r="I32" s="23" t="s">
        <v>51</v>
      </c>
      <c r="J32" s="28">
        <v>500</v>
      </c>
      <c r="K32" s="29" t="e">
        <f>D32/#REF!</f>
        <v>#REF!</v>
      </c>
      <c r="L32" s="30"/>
      <c r="M32" s="30"/>
      <c r="N32" s="30"/>
      <c r="O32" s="30"/>
      <c r="P32" s="30"/>
      <c r="Q32" s="30"/>
      <c r="R32" s="30"/>
      <c r="S32" s="30"/>
      <c r="T32" s="30"/>
    </row>
    <row r="33" spans="1:20" s="31" customFormat="1" ht="51" x14ac:dyDescent="0.2">
      <c r="A33" s="21">
        <v>18</v>
      </c>
      <c r="B33" s="22" t="str">
        <f>[1]расчёт_ОЦТАр!B33</f>
        <v>Смена прокладки для водоразборных кранов, душа, бачка унитаза</v>
      </c>
      <c r="C33" s="23" t="s">
        <v>52</v>
      </c>
      <c r="D33" s="24">
        <f>[1]расчёт_ОЦТАр!R33</f>
        <v>10</v>
      </c>
      <c r="E33" s="24">
        <f>3414*1.005</f>
        <v>3431.0699999999997</v>
      </c>
      <c r="F33" s="25">
        <v>7.7996133496908167</v>
      </c>
      <c r="G33" s="25">
        <f t="shared" si="0"/>
        <v>9.3595360196289796</v>
      </c>
      <c r="H33" s="26" t="s">
        <v>53</v>
      </c>
      <c r="I33" s="23" t="s">
        <v>54</v>
      </c>
      <c r="J33" s="28">
        <v>920</v>
      </c>
      <c r="K33" s="29" t="e">
        <f>D33/#REF!</f>
        <v>#REF!</v>
      </c>
      <c r="L33" s="30"/>
      <c r="M33" s="30"/>
      <c r="N33" s="30"/>
      <c r="O33" s="30"/>
      <c r="P33" s="30"/>
      <c r="Q33" s="30"/>
      <c r="R33" s="30"/>
      <c r="S33" s="30"/>
      <c r="T33" s="30"/>
    </row>
    <row r="34" spans="1:20" s="31" customFormat="1" ht="51" x14ac:dyDescent="0.2">
      <c r="A34" s="21">
        <v>19</v>
      </c>
      <c r="B34" s="22" t="str">
        <f>[1]расчёт_ОЦТАр!B34</f>
        <v>Смена сифона в ванной</v>
      </c>
      <c r="C34" s="23" t="s">
        <v>52</v>
      </c>
      <c r="D34" s="24">
        <f>[1]расчёт_ОЦТАр!R34</f>
        <v>20</v>
      </c>
      <c r="E34" s="24">
        <f>7020*1.005</f>
        <v>7055.0999999999995</v>
      </c>
      <c r="F34" s="25">
        <v>15.331382834351043</v>
      </c>
      <c r="G34" s="25">
        <f t="shared" si="0"/>
        <v>18.397659401221251</v>
      </c>
      <c r="H34" s="26" t="s">
        <v>55</v>
      </c>
      <c r="I34" s="23" t="s">
        <v>56</v>
      </c>
      <c r="J34" s="28">
        <v>2040</v>
      </c>
      <c r="K34" s="29" t="e">
        <f>D34/#REF!</f>
        <v>#REF!</v>
      </c>
      <c r="L34" s="30"/>
      <c r="M34" s="30"/>
      <c r="N34" s="30"/>
      <c r="O34" s="30"/>
      <c r="P34" s="30"/>
      <c r="Q34" s="30"/>
      <c r="R34" s="30"/>
      <c r="S34" s="30"/>
      <c r="T34" s="30"/>
    </row>
    <row r="35" spans="1:20" s="31" customFormat="1" ht="38.25" x14ac:dyDescent="0.2">
      <c r="A35" s="21">
        <v>20</v>
      </c>
      <c r="B35" s="22" t="str">
        <f>[1]расчёт_ОЦТАр!B35</f>
        <v>Замена гибкой подводки к санитарному прибору</v>
      </c>
      <c r="C35" s="23" t="s">
        <v>52</v>
      </c>
      <c r="D35" s="24">
        <f>[1]расчёт_ОЦТАр!R35</f>
        <v>10</v>
      </c>
      <c r="E35" s="24">
        <f>2858*1.005</f>
        <v>2872.2899999999995</v>
      </c>
      <c r="F35" s="25">
        <v>6.2461189325133883</v>
      </c>
      <c r="G35" s="25">
        <f t="shared" si="0"/>
        <v>7.4953427190160653</v>
      </c>
      <c r="H35" s="26" t="s">
        <v>57</v>
      </c>
      <c r="I35" s="23" t="s">
        <v>58</v>
      </c>
      <c r="J35" s="28">
        <v>830</v>
      </c>
      <c r="K35" s="29" t="e">
        <f>D35/#REF!</f>
        <v>#REF!</v>
      </c>
      <c r="L35" s="30"/>
      <c r="M35" s="30"/>
      <c r="N35" s="30"/>
      <c r="O35" s="30"/>
      <c r="P35" s="30"/>
      <c r="Q35" s="30"/>
      <c r="R35" s="30"/>
      <c r="S35" s="30"/>
      <c r="T35" s="30"/>
    </row>
    <row r="36" spans="1:20" s="31" customFormat="1" ht="25.5" x14ac:dyDescent="0.2">
      <c r="A36" s="21">
        <v>21</v>
      </c>
      <c r="B36" s="22" t="str">
        <f>[1]расчёт_ОЦТАр!B36</f>
        <v>Смена унитаза типа Компакт</v>
      </c>
      <c r="C36" s="23" t="s">
        <v>35</v>
      </c>
      <c r="D36" s="24">
        <f>[1]расчёт_ОЦТАр!R36</f>
        <v>50</v>
      </c>
      <c r="E36" s="24">
        <f>23412*1.005</f>
        <v>23529.059999999998</v>
      </c>
      <c r="F36" s="25">
        <v>51.1046094478368</v>
      </c>
      <c r="G36" s="25">
        <f t="shared" si="0"/>
        <v>61.325531337404158</v>
      </c>
      <c r="H36" s="26" t="s">
        <v>59</v>
      </c>
      <c r="I36" s="23" t="s">
        <v>60</v>
      </c>
      <c r="J36" s="28">
        <v>6820</v>
      </c>
      <c r="K36" s="29" t="e">
        <f>D36/#REF!</f>
        <v>#REF!</v>
      </c>
      <c r="L36" s="30"/>
      <c r="M36" s="30"/>
      <c r="N36" s="30"/>
      <c r="O36" s="30"/>
      <c r="P36" s="30"/>
      <c r="Q36" s="30"/>
      <c r="R36" s="30"/>
      <c r="S36" s="30"/>
      <c r="T36" s="30"/>
    </row>
    <row r="37" spans="1:20" s="31" customFormat="1" ht="38.25" x14ac:dyDescent="0.2">
      <c r="A37" s="21">
        <v>22</v>
      </c>
      <c r="B37" s="22" t="str">
        <f>[1]расчёт_ОЦТАр!B37</f>
        <v>Смена полотенцесушителя</v>
      </c>
      <c r="C37" s="23" t="s">
        <v>35</v>
      </c>
      <c r="D37" s="24">
        <f>[1]расчёт_ОЦТАр!R37</f>
        <v>30</v>
      </c>
      <c r="E37" s="24">
        <f>11969*1.005</f>
        <v>12028.844999999999</v>
      </c>
      <c r="F37" s="25">
        <v>26.120133717783258</v>
      </c>
      <c r="G37" s="25">
        <f t="shared" si="0"/>
        <v>31.344160461339907</v>
      </c>
      <c r="H37" s="26" t="s">
        <v>61</v>
      </c>
      <c r="I37" s="32" t="s">
        <v>62</v>
      </c>
      <c r="J37" s="28">
        <v>3480</v>
      </c>
      <c r="K37" s="29" t="e">
        <f>D37/#REF!</f>
        <v>#REF!</v>
      </c>
      <c r="L37" s="30"/>
      <c r="M37" s="30"/>
      <c r="N37" s="30"/>
      <c r="O37" s="30"/>
      <c r="P37" s="30"/>
      <c r="Q37" s="30"/>
      <c r="R37" s="30"/>
      <c r="S37" s="30"/>
      <c r="T37" s="30"/>
    </row>
    <row r="38" spans="1:20" s="31" customFormat="1" ht="31.5" x14ac:dyDescent="0.2">
      <c r="A38" s="21">
        <v>23</v>
      </c>
      <c r="B38" s="22" t="str">
        <f>[1]расчёт_ОЦТАр!B38</f>
        <v>Установка импортного смесителя в кухне со снятием старого</v>
      </c>
      <c r="C38" s="23" t="s">
        <v>35</v>
      </c>
      <c r="D38" s="24">
        <f>[1]расчёт_ОЦТАр!R38</f>
        <v>40</v>
      </c>
      <c r="E38" s="24">
        <f>17201*1.005</f>
        <v>17287.004999999997</v>
      </c>
      <c r="F38" s="25">
        <v>34.926839999989099</v>
      </c>
      <c r="G38" s="25">
        <f t="shared" si="0"/>
        <v>41.912207999986919</v>
      </c>
      <c r="H38" s="26" t="s">
        <v>63</v>
      </c>
      <c r="I38" s="23" t="s">
        <v>64</v>
      </c>
      <c r="J38" s="28">
        <v>5010</v>
      </c>
      <c r="K38" s="29" t="e">
        <f>D38/#REF!</f>
        <v>#REF!</v>
      </c>
      <c r="L38" s="30"/>
      <c r="M38" s="30"/>
      <c r="N38" s="30"/>
      <c r="O38" s="30"/>
      <c r="P38" s="30"/>
      <c r="Q38" s="30"/>
      <c r="R38" s="30"/>
      <c r="S38" s="30"/>
      <c r="T38" s="30"/>
    </row>
    <row r="39" spans="1:20" ht="63.75" x14ac:dyDescent="0.25">
      <c r="A39" s="21">
        <v>24</v>
      </c>
      <c r="B39" s="22" t="str">
        <f>[1]расчёт_ОЦТАр!B39</f>
        <v>Смена участков трубопроводов центрального отопления, холодного и горячего водоснабжения длиной от 0,5 м до 10 м</v>
      </c>
      <c r="C39" s="23" t="s">
        <v>49</v>
      </c>
      <c r="D39" s="24">
        <f>[1]расчёт_ОЦТАр!R39</f>
        <v>30</v>
      </c>
      <c r="E39" s="24">
        <f>13009*1.005</f>
        <v>13074.044999999998</v>
      </c>
      <c r="F39" s="25">
        <v>28.39144969324267</v>
      </c>
      <c r="G39" s="25">
        <f t="shared" si="0"/>
        <v>34.069739631891203</v>
      </c>
      <c r="H39" s="26" t="s">
        <v>65</v>
      </c>
      <c r="I39" s="33" t="s">
        <v>66</v>
      </c>
      <c r="J39" s="34">
        <v>3790</v>
      </c>
      <c r="K39" s="29" t="e">
        <f>D39/#REF!</f>
        <v>#REF!</v>
      </c>
      <c r="L39" s="34"/>
      <c r="M39" s="34"/>
      <c r="N39" s="34"/>
      <c r="O39" s="34"/>
      <c r="P39" s="34"/>
      <c r="Q39" s="34"/>
      <c r="R39" s="34"/>
      <c r="S39" s="34"/>
      <c r="T39" s="34"/>
    </row>
    <row r="40" spans="1:20" ht="51" x14ac:dyDescent="0.25">
      <c r="A40" s="21">
        <v>25</v>
      </c>
      <c r="B40" s="22" t="str">
        <f>[1]расчёт_ОЦТАр!B40</f>
        <v>Смена участка водопроводных труб до Ф25 мм</v>
      </c>
      <c r="C40" s="23" t="s">
        <v>49</v>
      </c>
      <c r="D40" s="24">
        <f>[1]расчёт_ОЦТАр!R40</f>
        <v>10</v>
      </c>
      <c r="E40" s="24">
        <f>5292*1.005</f>
        <v>5318.4599999999991</v>
      </c>
      <c r="F40" s="25">
        <v>11.54585620858535</v>
      </c>
      <c r="G40" s="25">
        <f t="shared" si="0"/>
        <v>13.855027450302421</v>
      </c>
      <c r="H40" s="26" t="s">
        <v>67</v>
      </c>
      <c r="I40" s="33" t="s">
        <v>68</v>
      </c>
      <c r="J40" s="34">
        <v>1540</v>
      </c>
      <c r="K40" s="29" t="e">
        <f>D40/#REF!</f>
        <v>#REF!</v>
      </c>
      <c r="L40" s="34"/>
      <c r="M40" s="34"/>
      <c r="N40" s="34"/>
      <c r="O40" s="34"/>
      <c r="P40" s="34"/>
      <c r="Q40" s="34"/>
      <c r="R40" s="34"/>
      <c r="S40" s="34"/>
      <c r="T40" s="34"/>
    </row>
    <row r="41" spans="1:20" ht="51" x14ac:dyDescent="0.25">
      <c r="A41" s="21">
        <v>26</v>
      </c>
      <c r="B41" s="22" t="str">
        <f>[1]расчёт_ОЦТАр!B41</f>
        <v>Смена участка водопроводных труб свыше Ф25до Ф50 мм</v>
      </c>
      <c r="C41" s="23" t="s">
        <v>49</v>
      </c>
      <c r="D41" s="24">
        <f>[1]расчёт_ОЦТАр!R41</f>
        <v>20</v>
      </c>
      <c r="E41" s="24">
        <f>7202*1.005</f>
        <v>7238.0099999999993</v>
      </c>
      <c r="F41" s="25">
        <v>15.709935496927612</v>
      </c>
      <c r="G41" s="25">
        <f t="shared" si="0"/>
        <v>18.851922596313134</v>
      </c>
      <c r="H41" s="26" t="s">
        <v>67</v>
      </c>
      <c r="I41" s="33" t="s">
        <v>69</v>
      </c>
      <c r="J41" s="34">
        <v>2090</v>
      </c>
      <c r="K41" s="29" t="e">
        <f>D41/#REF!</f>
        <v>#REF!</v>
      </c>
      <c r="L41" s="34"/>
      <c r="M41" s="34"/>
      <c r="N41" s="34"/>
      <c r="O41" s="34"/>
      <c r="P41" s="34"/>
      <c r="Q41" s="34"/>
      <c r="R41" s="34"/>
      <c r="S41" s="34"/>
      <c r="T41" s="34"/>
    </row>
    <row r="42" spans="1:20" ht="51" x14ac:dyDescent="0.25">
      <c r="A42" s="21">
        <v>27</v>
      </c>
      <c r="B42" s="22" t="str">
        <f>[1]расчёт_ОЦТАр!B42</f>
        <v>Смена участка водопроводных труб свыше Ф50 мм до Ф100мм</v>
      </c>
      <c r="C42" s="23" t="s">
        <v>49</v>
      </c>
      <c r="D42" s="24">
        <f>[1]расчёт_ОЦТАр!R42</f>
        <v>20</v>
      </c>
      <c r="E42" s="24">
        <f>10494*1.005</f>
        <v>10546.47</v>
      </c>
      <c r="F42" s="25">
        <v>22.902436085882421</v>
      </c>
      <c r="G42" s="25">
        <f t="shared" si="0"/>
        <v>27.482923303058904</v>
      </c>
      <c r="H42" s="26" t="s">
        <v>67</v>
      </c>
      <c r="I42" s="33" t="s">
        <v>70</v>
      </c>
      <c r="J42" s="34">
        <v>3060</v>
      </c>
      <c r="K42" s="29" t="e">
        <f>D42/#REF!</f>
        <v>#REF!</v>
      </c>
      <c r="L42" s="34"/>
      <c r="M42" s="34"/>
      <c r="N42" s="34"/>
      <c r="O42" s="34"/>
      <c r="P42" s="34"/>
      <c r="Q42" s="34"/>
      <c r="R42" s="34"/>
      <c r="S42" s="34"/>
      <c r="T42" s="34"/>
    </row>
    <row r="43" spans="1:20" ht="63.75" x14ac:dyDescent="0.25">
      <c r="A43" s="21">
        <v>28</v>
      </c>
      <c r="B43" s="22" t="str">
        <f>[1]расчёт_ОЦТАр!B43</f>
        <v>Монтаж трубопроводов водоснабжения из металлопластиковых труб</v>
      </c>
      <c r="C43" s="23" t="s">
        <v>49</v>
      </c>
      <c r="D43" s="24">
        <f>[1]расчёт_ОЦТАр!R43</f>
        <v>20</v>
      </c>
      <c r="E43" s="24">
        <f>10838*1.005</f>
        <v>10892.189999999999</v>
      </c>
      <c r="F43" s="25">
        <v>23.659541411035555</v>
      </c>
      <c r="G43" s="25">
        <f t="shared" si="0"/>
        <v>28.391449693242667</v>
      </c>
      <c r="H43" s="26" t="s">
        <v>71</v>
      </c>
      <c r="I43" s="33" t="s">
        <v>72</v>
      </c>
      <c r="J43" s="34">
        <v>3160</v>
      </c>
      <c r="K43" s="29" t="e">
        <f>D43/#REF!</f>
        <v>#REF!</v>
      </c>
      <c r="L43" s="34"/>
      <c r="M43" s="34"/>
      <c r="N43" s="34"/>
      <c r="O43" s="34"/>
      <c r="P43" s="34"/>
      <c r="Q43" s="34"/>
      <c r="R43" s="34"/>
      <c r="S43" s="34"/>
      <c r="T43" s="34"/>
    </row>
    <row r="44" spans="1:20" ht="31.5" x14ac:dyDescent="0.25">
      <c r="A44" s="21">
        <v>29</v>
      </c>
      <c r="B44" s="22" t="str">
        <f>[1]расчёт_ОЦТАр!B44</f>
        <v>Смена вентилей на стояках водоснабжения</v>
      </c>
      <c r="C44" s="23" t="s">
        <v>73</v>
      </c>
      <c r="D44" s="24">
        <f>[1]расчёт_ОЦТАр!R44</f>
        <v>20</v>
      </c>
      <c r="E44" s="24">
        <f>7110*1.005</f>
        <v>7145.5499999999993</v>
      </c>
      <c r="F44" s="25">
        <v>15.520659165639326</v>
      </c>
      <c r="G44" s="25">
        <f t="shared" si="0"/>
        <v>18.624790998767192</v>
      </c>
      <c r="H44" s="26" t="s">
        <v>74</v>
      </c>
      <c r="I44" s="33" t="s">
        <v>75</v>
      </c>
      <c r="J44" s="34">
        <v>2070</v>
      </c>
      <c r="K44" s="29" t="e">
        <f>D44/#REF!</f>
        <v>#REF!</v>
      </c>
      <c r="L44" s="34"/>
      <c r="M44" s="34"/>
      <c r="N44" s="34"/>
      <c r="O44" s="34"/>
      <c r="P44" s="34"/>
      <c r="Q44" s="34"/>
      <c r="R44" s="34"/>
      <c r="S44" s="34"/>
      <c r="T44" s="34"/>
    </row>
    <row r="45" spans="1:20" ht="31.5" x14ac:dyDescent="0.25">
      <c r="A45" s="21">
        <v>30</v>
      </c>
      <c r="B45" s="22" t="str">
        <f>[1]расчёт_ОЦТАр!B45</f>
        <v>Ремонт вентиля</v>
      </c>
      <c r="C45" s="23" t="s">
        <v>73</v>
      </c>
      <c r="D45" s="24">
        <f>[1]расчёт_ОЦТАр!R45</f>
        <v>10</v>
      </c>
      <c r="E45" s="24">
        <f>2778*1.005</f>
        <v>2791.89</v>
      </c>
      <c r="F45" s="25">
        <v>6.0568426012251022</v>
      </c>
      <c r="G45" s="25">
        <f t="shared" si="0"/>
        <v>7.2682111214701219</v>
      </c>
      <c r="H45" s="26" t="s">
        <v>76</v>
      </c>
      <c r="I45" s="33" t="s">
        <v>77</v>
      </c>
      <c r="J45" s="34">
        <v>800</v>
      </c>
      <c r="K45" s="29" t="e">
        <f>D45/#REF!</f>
        <v>#REF!</v>
      </c>
      <c r="L45" s="34"/>
      <c r="M45" s="34"/>
      <c r="N45" s="34"/>
      <c r="O45" s="34"/>
      <c r="P45" s="34"/>
      <c r="Q45" s="34"/>
      <c r="R45" s="34"/>
      <c r="S45" s="34"/>
      <c r="T45" s="34"/>
    </row>
    <row r="46" spans="1:20" ht="63.75" x14ac:dyDescent="0.2">
      <c r="A46" s="21">
        <v>31</v>
      </c>
      <c r="B46" s="22" t="str">
        <f>[1]расчёт_ОЦТАр!B46</f>
        <v>Смена отдельных участков трубопроводов Ф свыше 25 мм до 40 мм м.п.</v>
      </c>
      <c r="C46" s="23" t="s">
        <v>49</v>
      </c>
      <c r="D46" s="24">
        <f>[1]расчёт_ОЦТАр!R46</f>
        <v>20</v>
      </c>
      <c r="E46" s="24">
        <f>8586*1.005</f>
        <v>8628.9299999999985</v>
      </c>
      <c r="F46" s="25">
        <v>18.738356797540163</v>
      </c>
      <c r="G46" s="25">
        <f t="shared" si="0"/>
        <v>22.486028157048196</v>
      </c>
      <c r="H46" s="26" t="s">
        <v>78</v>
      </c>
      <c r="I46" s="33" t="s">
        <v>79</v>
      </c>
      <c r="J46" s="5">
        <v>2490</v>
      </c>
      <c r="K46" s="29" t="e">
        <f>D46/#REF!</f>
        <v>#REF!</v>
      </c>
    </row>
    <row r="47" spans="1:20" ht="31.5" customHeight="1" x14ac:dyDescent="0.2">
      <c r="A47" s="35">
        <v>32</v>
      </c>
      <c r="B47" s="22" t="str">
        <f>[1]расчёт_ОЦТАр!B47</f>
        <v>Ремонт на месте деревянной подоконной доски</v>
      </c>
      <c r="C47" s="23" t="str">
        <f>[1]Р_ЗПЛ_Т!C44</f>
        <v>шт.</v>
      </c>
      <c r="D47" s="24">
        <f>[1]расчёт_ОЦТАр!R47</f>
        <v>10</v>
      </c>
      <c r="E47" s="24">
        <f>5636*1.005</f>
        <v>5664.1799999999994</v>
      </c>
      <c r="F47" s="25">
        <v>12.30296153373849</v>
      </c>
      <c r="G47" s="25">
        <f t="shared" si="0"/>
        <v>14.763553840486187</v>
      </c>
      <c r="H47" s="36" t="s">
        <v>80</v>
      </c>
      <c r="I47" s="37" t="s">
        <v>81</v>
      </c>
      <c r="J47" s="5">
        <v>2250</v>
      </c>
      <c r="K47" s="29" t="e">
        <f>D47/#REF!</f>
        <v>#REF!</v>
      </c>
    </row>
    <row r="48" spans="1:20" ht="18.75" x14ac:dyDescent="0.2">
      <c r="A48" s="35"/>
      <c r="B48" s="38" t="s">
        <v>82</v>
      </c>
      <c r="C48" s="23" t="s">
        <v>83</v>
      </c>
      <c r="D48" s="23">
        <v>4.0000000000000001E-3</v>
      </c>
      <c r="E48" s="23">
        <v>4.0000000000000001E-3</v>
      </c>
      <c r="F48" s="39">
        <v>4.0000000000000001E-3</v>
      </c>
      <c r="G48" s="39"/>
      <c r="H48" s="36"/>
      <c r="I48" s="37"/>
      <c r="K48" s="29" t="e">
        <f>D48/#REF!</f>
        <v>#REF!</v>
      </c>
    </row>
    <row r="49" spans="1:11" x14ac:dyDescent="0.2">
      <c r="A49" s="35"/>
      <c r="B49" s="38" t="s">
        <v>84</v>
      </c>
      <c r="C49" s="23" t="s">
        <v>85</v>
      </c>
      <c r="D49" s="23">
        <v>1.5E-3</v>
      </c>
      <c r="E49" s="23">
        <v>1.5E-3</v>
      </c>
      <c r="F49" s="39">
        <v>1.5E-3</v>
      </c>
      <c r="G49" s="39"/>
      <c r="H49" s="36"/>
      <c r="I49" s="37"/>
      <c r="K49" s="29" t="e">
        <f>D49/#REF!</f>
        <v>#REF!</v>
      </c>
    </row>
    <row r="50" spans="1:11" ht="38.25" x14ac:dyDescent="0.2">
      <c r="A50" s="21">
        <v>33</v>
      </c>
      <c r="B50" s="22" t="str">
        <f>[1]расчёт_ОЦТАр!B48</f>
        <v>Малый ремонт створчатых оконных переплётов со снятием створок, створка</v>
      </c>
      <c r="C50" s="23" t="str">
        <f>[1]Р_ЗПЛ_Т!C45</f>
        <v>створка</v>
      </c>
      <c r="D50" s="24">
        <f>[1]расчёт_ОЦТАр!R48</f>
        <v>10</v>
      </c>
      <c r="E50" s="24">
        <f>5545*1.005</f>
        <v>5572.7249999999995</v>
      </c>
      <c r="F50" s="25">
        <v>12.113685202450204</v>
      </c>
      <c r="G50" s="25">
        <f>F50*1.2</f>
        <v>14.536422242940244</v>
      </c>
      <c r="H50" s="26" t="s">
        <v>86</v>
      </c>
      <c r="I50" s="40" t="s">
        <v>87</v>
      </c>
      <c r="J50" s="5">
        <v>2210</v>
      </c>
      <c r="K50" s="29" t="e">
        <f>D50/#REF!</f>
        <v>#REF!</v>
      </c>
    </row>
    <row r="51" spans="1:11" ht="31.5" x14ac:dyDescent="0.2">
      <c r="A51" s="21">
        <v>34</v>
      </c>
      <c r="B51" s="22" t="str">
        <f>[1]расчёт_ОЦТАр!B49</f>
        <v>Малый ремонт створчатых оконных переплётов без снятия створок, створка</v>
      </c>
      <c r="C51" s="23" t="str">
        <f>[1]Р_ЗПЛ_Т!C46</f>
        <v>створка</v>
      </c>
      <c r="D51" s="24">
        <f>[1]расчёт_ОЦТАр!R49</f>
        <v>10</v>
      </c>
      <c r="E51" s="24">
        <f>3990*1.005</f>
        <v>4009.9499999999994</v>
      </c>
      <c r="F51" s="25">
        <v>8.7067112392610841</v>
      </c>
      <c r="G51" s="25">
        <f>F51*1.2</f>
        <v>10.448053487113301</v>
      </c>
      <c r="H51" s="26" t="s">
        <v>88</v>
      </c>
      <c r="I51" s="23" t="s">
        <v>89</v>
      </c>
      <c r="J51" s="5">
        <v>1590</v>
      </c>
      <c r="K51" s="29" t="e">
        <f>D51/#REF!</f>
        <v>#REF!</v>
      </c>
    </row>
    <row r="52" spans="1:11" ht="31.5" customHeight="1" x14ac:dyDescent="0.2">
      <c r="A52" s="35">
        <v>35</v>
      </c>
      <c r="B52" s="22" t="str">
        <f>[1]расчёт_ОЦТАр!B50</f>
        <v>Большой ремонт створчатых оконных переплётов, створка</v>
      </c>
      <c r="C52" s="23" t="str">
        <f>[1]Р_ЗПЛ_Т!C47</f>
        <v>створка</v>
      </c>
      <c r="D52" s="24">
        <f>[1]расчёт_ОЦТАр!R50</f>
        <v>40</v>
      </c>
      <c r="E52" s="24">
        <f>20120*1.005</f>
        <v>20220.599999999999</v>
      </c>
      <c r="F52" s="25">
        <v>43.912108858882</v>
      </c>
      <c r="G52" s="25">
        <f>F52*1.2</f>
        <v>52.694530630658399</v>
      </c>
      <c r="H52" s="36" t="s">
        <v>24</v>
      </c>
      <c r="I52" s="41" t="s">
        <v>90</v>
      </c>
      <c r="J52" s="5">
        <v>8020</v>
      </c>
      <c r="K52" s="29" t="e">
        <f>D52/#REF!</f>
        <v>#REF!</v>
      </c>
    </row>
    <row r="53" spans="1:11" ht="18.75" x14ac:dyDescent="0.2">
      <c r="A53" s="35"/>
      <c r="B53" s="38" t="s">
        <v>91</v>
      </c>
      <c r="C53" s="23" t="s">
        <v>83</v>
      </c>
      <c r="D53" s="23">
        <v>8.0000000000000002E-3</v>
      </c>
      <c r="E53" s="23">
        <v>8.0000000000000002E-3</v>
      </c>
      <c r="F53" s="39">
        <v>8.0000000000000002E-3</v>
      </c>
      <c r="G53" s="39"/>
      <c r="H53" s="36"/>
      <c r="I53" s="41"/>
      <c r="K53" s="29" t="e">
        <f>D53/#REF!</f>
        <v>#REF!</v>
      </c>
    </row>
    <row r="54" spans="1:11" x14ac:dyDescent="0.2">
      <c r="A54" s="35"/>
      <c r="B54" s="38" t="s">
        <v>84</v>
      </c>
      <c r="C54" s="23" t="s">
        <v>85</v>
      </c>
      <c r="D54" s="23">
        <v>0.03</v>
      </c>
      <c r="E54" s="23">
        <v>0.03</v>
      </c>
      <c r="F54" s="39">
        <v>0.03</v>
      </c>
      <c r="G54" s="39"/>
      <c r="H54" s="36"/>
      <c r="I54" s="41"/>
      <c r="K54" s="29" t="e">
        <f>D54/#REF!</f>
        <v>#REF!</v>
      </c>
    </row>
    <row r="55" spans="1:11" ht="31.5" x14ac:dyDescent="0.2">
      <c r="A55" s="35">
        <v>36</v>
      </c>
      <c r="B55" s="22" t="str">
        <f>[1]расчёт_ОЦТАр!B51</f>
        <v>Большой ремонт глухих оконных переплётов, переплёт</v>
      </c>
      <c r="C55" s="23" t="str">
        <f>[1]Р_ЗПЛ_Т!C48</f>
        <v>переплёт</v>
      </c>
      <c r="D55" s="24">
        <f>[1]расчёт_ОЦТАр!R51</f>
        <v>40</v>
      </c>
      <c r="E55" s="24">
        <f>18736*1.005</f>
        <v>18829.679999999997</v>
      </c>
      <c r="F55" s="25">
        <v>40.88368755826945</v>
      </c>
      <c r="G55" s="25">
        <f>F55*1.2</f>
        <v>49.06042506992334</v>
      </c>
      <c r="H55" s="36" t="s">
        <v>92</v>
      </c>
      <c r="I55" s="41" t="s">
        <v>93</v>
      </c>
      <c r="J55" s="5">
        <v>7470</v>
      </c>
      <c r="K55" s="29" t="e">
        <f>D55/#REF!</f>
        <v>#REF!</v>
      </c>
    </row>
    <row r="56" spans="1:11" ht="18.75" x14ac:dyDescent="0.2">
      <c r="A56" s="35"/>
      <c r="B56" s="38" t="s">
        <v>91</v>
      </c>
      <c r="C56" s="23" t="s">
        <v>83</v>
      </c>
      <c r="D56" s="23">
        <v>8.0000000000000002E-3</v>
      </c>
      <c r="E56" s="23">
        <v>8.0000000000000002E-3</v>
      </c>
      <c r="F56" s="39">
        <v>8.0000000000000002E-3</v>
      </c>
      <c r="G56" s="39"/>
      <c r="H56" s="36"/>
      <c r="I56" s="41"/>
      <c r="K56" s="29" t="e">
        <f>D56/#REF!</f>
        <v>#REF!</v>
      </c>
    </row>
    <row r="57" spans="1:11" x14ac:dyDescent="0.2">
      <c r="A57" s="35"/>
      <c r="B57" s="38" t="s">
        <v>84</v>
      </c>
      <c r="C57" s="23" t="s">
        <v>85</v>
      </c>
      <c r="D57" s="23">
        <v>0.04</v>
      </c>
      <c r="E57" s="23">
        <v>0.04</v>
      </c>
      <c r="F57" s="39">
        <v>0.04</v>
      </c>
      <c r="G57" s="39"/>
      <c r="H57" s="36"/>
      <c r="I57" s="41"/>
      <c r="K57" s="29" t="e">
        <f>D57/#REF!</f>
        <v>#REF!</v>
      </c>
    </row>
    <row r="58" spans="1:11" ht="31.5" x14ac:dyDescent="0.2">
      <c r="A58" s="35">
        <v>38</v>
      </c>
      <c r="B58" s="22" t="str">
        <f>[1]расчёт_ОЦТАр!B52</f>
        <v>Большой ремонт полотен внутренних дверей, полотно</v>
      </c>
      <c r="C58" s="23" t="str">
        <f>[1]Р_ЗПЛ_Т!C49</f>
        <v>полотно</v>
      </c>
      <c r="D58" s="24">
        <f>[1]расчёт_ОЦТАр!R52</f>
        <v>180</v>
      </c>
      <c r="E58" s="24">
        <f>83519*1.005</f>
        <v>83936.594999999987</v>
      </c>
      <c r="F58" s="25">
        <v>182.27310703061801</v>
      </c>
      <c r="G58" s="25">
        <f>F58*1.2</f>
        <v>218.72772843674161</v>
      </c>
      <c r="H58" s="36" t="s">
        <v>94</v>
      </c>
      <c r="I58" s="42" t="s">
        <v>95</v>
      </c>
      <c r="J58" s="5">
        <v>33290</v>
      </c>
      <c r="K58" s="29" t="e">
        <f>D58/#REF!</f>
        <v>#REF!</v>
      </c>
    </row>
    <row r="59" spans="1:11" ht="31.5" x14ac:dyDescent="0.2">
      <c r="A59" s="35"/>
      <c r="B59" s="38" t="s">
        <v>96</v>
      </c>
      <c r="C59" s="23" t="s">
        <v>83</v>
      </c>
      <c r="D59" s="23">
        <v>2.7E-2</v>
      </c>
      <c r="E59" s="23">
        <v>2.7E-2</v>
      </c>
      <c r="F59" s="39">
        <v>2.7E-2</v>
      </c>
      <c r="G59" s="39"/>
      <c r="H59" s="36"/>
      <c r="I59" s="41"/>
      <c r="K59" s="29" t="e">
        <f>D59/#REF!</f>
        <v>#REF!</v>
      </c>
    </row>
    <row r="60" spans="1:11" x14ac:dyDescent="0.2">
      <c r="A60" s="35"/>
      <c r="B60" s="38" t="s">
        <v>84</v>
      </c>
      <c r="C60" s="23" t="s">
        <v>85</v>
      </c>
      <c r="D60" s="23">
        <v>0.125</v>
      </c>
      <c r="E60" s="23">
        <v>0.125</v>
      </c>
      <c r="F60" s="39">
        <v>0.125</v>
      </c>
      <c r="G60" s="39"/>
      <c r="H60" s="36"/>
      <c r="I60" s="41"/>
      <c r="K60" s="29" t="e">
        <f>D60/#REF!</f>
        <v>#REF!</v>
      </c>
    </row>
    <row r="61" spans="1:11" ht="38.25" x14ac:dyDescent="0.2">
      <c r="A61" s="21">
        <v>38</v>
      </c>
      <c r="B61" s="22" t="str">
        <f>[1]расчёт_ОЦТАр!B53</f>
        <v>Малый ремонт на месте дверных полотен, полотно</v>
      </c>
      <c r="C61" s="23" t="str">
        <f>[1]Р_ЗПЛ_Т!C50</f>
        <v>полотно</v>
      </c>
      <c r="D61" s="24">
        <f>[1]расчёт_ОЦТАр!R53</f>
        <v>30</v>
      </c>
      <c r="E61" s="24">
        <f>11626*1.005</f>
        <v>11684.13</v>
      </c>
      <c r="F61" s="25">
        <v>25.363028392630124</v>
      </c>
      <c r="G61" s="25">
        <f>F61*1.2</f>
        <v>30.435634071156148</v>
      </c>
      <c r="H61" s="26" t="s">
        <v>97</v>
      </c>
      <c r="I61" s="23" t="s">
        <v>98</v>
      </c>
      <c r="J61" s="5">
        <v>4630</v>
      </c>
      <c r="K61" s="29" t="e">
        <f>D61/#REF!</f>
        <v>#REF!</v>
      </c>
    </row>
    <row r="62" spans="1:11" ht="31.5" x14ac:dyDescent="0.2">
      <c r="A62" s="21">
        <v>39</v>
      </c>
      <c r="B62" s="22" t="str">
        <f>[1]расчёт_ОЦТАр!B54</f>
        <v>Снятие деревянных подоконных досок в каменных стенах</v>
      </c>
      <c r="C62" s="23" t="str">
        <f>[1]Р_ЗПЛ_Т!C51</f>
        <v>шт.</v>
      </c>
      <c r="D62" s="24">
        <f>[1]расчёт_ОЦТАр!R54</f>
        <v>0</v>
      </c>
      <c r="E62" s="24">
        <f>1474*1.005</f>
        <v>1481.37</v>
      </c>
      <c r="F62" s="25">
        <v>3.833143312882239</v>
      </c>
      <c r="G62" s="25">
        <f>F62*1.2</f>
        <v>4.5997719754586868</v>
      </c>
      <c r="H62" s="26" t="s">
        <v>99</v>
      </c>
      <c r="I62" s="23" t="s">
        <v>100</v>
      </c>
      <c r="J62" s="5">
        <v>590</v>
      </c>
      <c r="K62" s="29" t="e">
        <f>D62/#REF!</f>
        <v>#REF!</v>
      </c>
    </row>
    <row r="63" spans="1:11" ht="31.5" x14ac:dyDescent="0.2">
      <c r="A63" s="21">
        <v>40</v>
      </c>
      <c r="B63" s="22" t="str">
        <f>[1]расчёт_ОЦТАр!B55</f>
        <v>Снятие деревянных подоконных досок в деревянных стенах</v>
      </c>
      <c r="C63" s="23" t="str">
        <f>[1]Р_ЗПЛ_Т!C52</f>
        <v>шт.</v>
      </c>
      <c r="D63" s="24">
        <f>[1]расчёт_ОЦТАр!R55</f>
        <v>0</v>
      </c>
      <c r="E63" s="24">
        <f>1282*1.005</f>
        <v>1288.4099999999999</v>
      </c>
      <c r="F63" s="25">
        <v>3.333168098158469</v>
      </c>
      <c r="G63" s="25">
        <f>F63*1.2</f>
        <v>3.9998017177901626</v>
      </c>
      <c r="H63" s="26" t="s">
        <v>101</v>
      </c>
      <c r="I63" s="23" t="s">
        <v>102</v>
      </c>
      <c r="J63" s="5">
        <v>510</v>
      </c>
      <c r="K63" s="29" t="e">
        <f>D63/#REF!</f>
        <v>#REF!</v>
      </c>
    </row>
    <row r="64" spans="1:11" ht="18.75" x14ac:dyDescent="0.2">
      <c r="A64" s="35">
        <v>41</v>
      </c>
      <c r="B64" s="22" t="str">
        <f>[1]расчёт_ОЦТАр!B56</f>
        <v>Установка подоконных досок</v>
      </c>
      <c r="C64" s="23" t="str">
        <f>[1]Р_ЗПЛ_Т!C53</f>
        <v>м.п.</v>
      </c>
      <c r="D64" s="24">
        <f>[1]расчёт_ОЦТАр!R56</f>
        <v>10</v>
      </c>
      <c r="E64" s="24">
        <f>2242*1.005</f>
        <v>2253.2099999999996</v>
      </c>
      <c r="F64" s="25">
        <v>5.5711523926362974</v>
      </c>
      <c r="G64" s="25">
        <f>F64*1.2</f>
        <v>6.685382871163557</v>
      </c>
      <c r="H64" s="36" t="s">
        <v>103</v>
      </c>
      <c r="I64" s="41" t="s">
        <v>104</v>
      </c>
      <c r="J64" s="5">
        <v>890</v>
      </c>
      <c r="K64" s="29" t="e">
        <f>D64/#REF!</f>
        <v>#REF!</v>
      </c>
    </row>
    <row r="65" spans="1:11" x14ac:dyDescent="0.2">
      <c r="A65" s="35"/>
      <c r="B65" s="38" t="s">
        <v>105</v>
      </c>
      <c r="C65" s="23" t="s">
        <v>49</v>
      </c>
      <c r="D65" s="23">
        <v>1.05</v>
      </c>
      <c r="E65" s="23">
        <v>1.05</v>
      </c>
      <c r="F65" s="39">
        <v>1.05</v>
      </c>
      <c r="G65" s="39"/>
      <c r="H65" s="36"/>
      <c r="I65" s="41"/>
      <c r="K65" s="29" t="e">
        <f>D65/#REF!</f>
        <v>#REF!</v>
      </c>
    </row>
    <row r="66" spans="1:11" x14ac:dyDescent="0.2">
      <c r="A66" s="35"/>
      <c r="B66" s="38" t="s">
        <v>106</v>
      </c>
      <c r="C66" s="23" t="s">
        <v>107</v>
      </c>
      <c r="D66" s="23">
        <v>0.04</v>
      </c>
      <c r="E66" s="23">
        <v>0.04</v>
      </c>
      <c r="F66" s="39">
        <v>0.04</v>
      </c>
      <c r="G66" s="39"/>
      <c r="H66" s="36"/>
      <c r="I66" s="41"/>
      <c r="K66" s="29" t="e">
        <f>D66/#REF!</f>
        <v>#REF!</v>
      </c>
    </row>
    <row r="67" spans="1:11" ht="18.75" x14ac:dyDescent="0.2">
      <c r="A67" s="35"/>
      <c r="B67" s="38" t="s">
        <v>108</v>
      </c>
      <c r="C67" s="23" t="s">
        <v>83</v>
      </c>
      <c r="D67" s="23">
        <v>1.2E-4</v>
      </c>
      <c r="E67" s="23">
        <v>1.2E-4</v>
      </c>
      <c r="F67" s="39">
        <v>1.2E-4</v>
      </c>
      <c r="G67" s="39"/>
      <c r="H67" s="36"/>
      <c r="I67" s="41"/>
      <c r="K67" s="29" t="e">
        <f>D67/#REF!</f>
        <v>#REF!</v>
      </c>
    </row>
    <row r="68" spans="1:11" ht="18.75" customHeight="1" x14ac:dyDescent="0.2">
      <c r="A68" s="35">
        <v>42</v>
      </c>
      <c r="B68" s="22" t="str">
        <f>[1]расчёт_ОЦТАр!B57</f>
        <v>Смена ручек-скоб</v>
      </c>
      <c r="C68" s="23" t="str">
        <f>[1]Р_ЗПЛ_Т!C54</f>
        <v>прибор</v>
      </c>
      <c r="D68" s="24">
        <f>[1]расчёт_ОЦТАр!R57</f>
        <v>10</v>
      </c>
      <c r="E68" s="24">
        <f>2515*1.005</f>
        <v>2527.5749999999998</v>
      </c>
      <c r="F68" s="25">
        <v>5.48901360736025</v>
      </c>
      <c r="G68" s="25">
        <f>F68*1.2</f>
        <v>6.5868163288322998</v>
      </c>
      <c r="H68" s="36" t="s">
        <v>109</v>
      </c>
      <c r="I68" s="43" t="s">
        <v>110</v>
      </c>
      <c r="J68" s="5">
        <v>1000</v>
      </c>
      <c r="K68" s="29" t="e">
        <f>D68/#REF!</f>
        <v>#REF!</v>
      </c>
    </row>
    <row r="69" spans="1:11" x14ac:dyDescent="0.2">
      <c r="A69" s="35"/>
      <c r="B69" s="38" t="s">
        <v>111</v>
      </c>
      <c r="C69" s="23" t="s">
        <v>112</v>
      </c>
      <c r="D69" s="23">
        <v>1</v>
      </c>
      <c r="E69" s="23">
        <v>1</v>
      </c>
      <c r="F69" s="39">
        <v>1</v>
      </c>
      <c r="G69" s="39"/>
      <c r="H69" s="36"/>
      <c r="I69" s="43"/>
      <c r="K69" s="29" t="e">
        <f>D69/#REF!</f>
        <v>#REF!</v>
      </c>
    </row>
    <row r="70" spans="1:11" ht="63" x14ac:dyDescent="0.2">
      <c r="A70" s="35">
        <v>43</v>
      </c>
      <c r="B70" s="22" t="str">
        <f>[1]расчёт_ОЦТАр!B58</f>
        <v>Смена завёрток врезных оконных, защёлок дверных, петель (дверных, оконных и форточных) всех видов, прибор или две петли</v>
      </c>
      <c r="C70" s="23" t="str">
        <f>[1]Р_ЗПЛ_Т!C55</f>
        <v>прибор или две петли</v>
      </c>
      <c r="D70" s="24">
        <f>[1]расчёт_ОЦТАр!R58</f>
        <v>20</v>
      </c>
      <c r="E70" s="24">
        <f>7716*1.005</f>
        <v>7754.579999999999</v>
      </c>
      <c r="F70" s="25">
        <v>16.845593484657314</v>
      </c>
      <c r="G70" s="25">
        <f>F70*1.2</f>
        <v>20.214712181588776</v>
      </c>
      <c r="H70" s="36" t="s">
        <v>113</v>
      </c>
      <c r="I70" s="43" t="s">
        <v>114</v>
      </c>
      <c r="J70" s="5">
        <v>3080</v>
      </c>
      <c r="K70" s="29" t="e">
        <f>D70/#REF!</f>
        <v>#REF!</v>
      </c>
    </row>
    <row r="71" spans="1:11" x14ac:dyDescent="0.2">
      <c r="A71" s="35"/>
      <c r="B71" s="38" t="s">
        <v>115</v>
      </c>
      <c r="C71" s="23" t="s">
        <v>112</v>
      </c>
      <c r="D71" s="23">
        <v>1</v>
      </c>
      <c r="E71" s="23">
        <v>1</v>
      </c>
      <c r="F71" s="39">
        <v>1</v>
      </c>
      <c r="G71" s="39"/>
      <c r="H71" s="36"/>
      <c r="I71" s="43"/>
      <c r="K71" s="29" t="e">
        <f>D71/#REF!</f>
        <v>#REF!</v>
      </c>
    </row>
    <row r="72" spans="1:11" x14ac:dyDescent="0.2">
      <c r="A72" s="35"/>
      <c r="B72" s="38" t="s">
        <v>116</v>
      </c>
      <c r="C72" s="23" t="s">
        <v>117</v>
      </c>
      <c r="D72" s="23">
        <v>2</v>
      </c>
      <c r="E72" s="23">
        <v>2</v>
      </c>
      <c r="F72" s="39">
        <v>2</v>
      </c>
      <c r="G72" s="39"/>
      <c r="H72" s="36"/>
      <c r="I72" s="43"/>
      <c r="K72" s="29" t="e">
        <f>D72/#REF!</f>
        <v>#REF!</v>
      </c>
    </row>
    <row r="73" spans="1:11" ht="51" x14ac:dyDescent="0.2">
      <c r="A73" s="21">
        <v>44</v>
      </c>
      <c r="B73" s="22" t="str">
        <f>[1]расчёт_ОЦТАр!B59</f>
        <v>Прочистка и промывка радиаторов на месте до 7 секций в группе</v>
      </c>
      <c r="C73" s="23" t="str">
        <f>[1]Р_ЗПЛ_Т!C56</f>
        <v>радиатор</v>
      </c>
      <c r="D73" s="24">
        <f>[1]расчёт_ОЦТАр!R59</f>
        <v>40</v>
      </c>
      <c r="E73" s="24">
        <f>14242*1.005</f>
        <v>14313.21</v>
      </c>
      <c r="F73" s="25">
        <v>35.46967023311776</v>
      </c>
      <c r="G73" s="25">
        <f>F73*1.2</f>
        <v>42.563604279741313</v>
      </c>
      <c r="H73" s="26" t="s">
        <v>118</v>
      </c>
      <c r="I73" s="23" t="s">
        <v>119</v>
      </c>
      <c r="J73" s="5">
        <v>5680</v>
      </c>
      <c r="K73" s="29" t="e">
        <f>D73/#REF!</f>
        <v>#REF!</v>
      </c>
    </row>
    <row r="74" spans="1:11" ht="51" x14ac:dyDescent="0.2">
      <c r="A74" s="21">
        <v>45</v>
      </c>
      <c r="B74" s="22" t="str">
        <f>[1]расчёт_ОЦТАр!B60</f>
        <v>Прочистка и промывка радиаторов на месте свыше 7 секций в группе</v>
      </c>
      <c r="C74" s="23" t="str">
        <f>[1]Р_ЗПЛ_Т!C57</f>
        <v>радиатор</v>
      </c>
      <c r="D74" s="24">
        <f>[1]расчёт_ОЦТАр!R60</f>
        <v>50</v>
      </c>
      <c r="E74" s="24">
        <f>18271*1.005</f>
        <v>18362.355</v>
      </c>
      <c r="F74" s="25">
        <v>45.497744539863106</v>
      </c>
      <c r="G74" s="25">
        <f>F74*1.2</f>
        <v>54.597293447835725</v>
      </c>
      <c r="H74" s="26" t="s">
        <v>118</v>
      </c>
      <c r="I74" s="23" t="s">
        <v>120</v>
      </c>
      <c r="J74" s="5">
        <v>7280</v>
      </c>
      <c r="K74" s="29" t="e">
        <f>D74/#REF!</f>
        <v>#REF!</v>
      </c>
    </row>
    <row r="75" spans="1:11" ht="63" x14ac:dyDescent="0.2">
      <c r="A75" s="35">
        <v>46</v>
      </c>
      <c r="B75" s="22" t="str">
        <f>[1]расчёт_ОЦТАр!B61</f>
        <v>Замена участка канализационного трубопровода из чугунных труб на пластмассовые или металлопластиковые</v>
      </c>
      <c r="C75" s="23" t="str">
        <f>[1]Р_ЗПЛ_Т!C58</f>
        <v>м</v>
      </c>
      <c r="D75" s="24">
        <f>[1]расчёт_ОЦТАр!R61</f>
        <v>20</v>
      </c>
      <c r="E75" s="24">
        <f>9888*1.005</f>
        <v>9937.4399999999987</v>
      </c>
      <c r="F75" s="25">
        <v>21.577501766864422</v>
      </c>
      <c r="G75" s="25">
        <f>F75*1.2</f>
        <v>25.893002120237306</v>
      </c>
      <c r="H75" s="36" t="s">
        <v>121</v>
      </c>
      <c r="I75" s="41" t="s">
        <v>122</v>
      </c>
      <c r="J75" s="5">
        <v>3940</v>
      </c>
      <c r="K75" s="29" t="e">
        <f>D75/#REF!</f>
        <v>#REF!</v>
      </c>
    </row>
    <row r="76" spans="1:11" ht="31.5" x14ac:dyDescent="0.2">
      <c r="A76" s="35"/>
      <c r="B76" s="38" t="s">
        <v>123</v>
      </c>
      <c r="C76" s="23" t="s">
        <v>49</v>
      </c>
      <c r="D76" s="23">
        <v>1.07</v>
      </c>
      <c r="E76" s="23">
        <v>1.07</v>
      </c>
      <c r="F76" s="39">
        <v>1.07</v>
      </c>
      <c r="G76" s="39"/>
      <c r="H76" s="36"/>
      <c r="I76" s="41"/>
      <c r="K76" s="29" t="e">
        <f>D76/#REF!</f>
        <v>#REF!</v>
      </c>
    </row>
    <row r="77" spans="1:11" ht="31.5" x14ac:dyDescent="0.2">
      <c r="A77" s="35">
        <v>47</v>
      </c>
      <c r="B77" s="22" t="str">
        <f>[1]расчёт_ОЦТАр!B62</f>
        <v>Смена пластмассовых канализационных труб</v>
      </c>
      <c r="C77" s="23" t="str">
        <f>[1]Р_ЗПЛ_Т!C59</f>
        <v>м</v>
      </c>
      <c r="D77" s="24">
        <f>[1]расчёт_ОЦТАр!R62</f>
        <v>10</v>
      </c>
      <c r="E77" s="24">
        <f>5374*1.005</f>
        <v>5400.869999999999</v>
      </c>
      <c r="F77" s="25">
        <v>11.735132539873637</v>
      </c>
      <c r="G77" s="25">
        <f>F77*1.2</f>
        <v>14.082159047848364</v>
      </c>
      <c r="H77" s="36" t="s">
        <v>124</v>
      </c>
      <c r="I77" s="41" t="s">
        <v>125</v>
      </c>
      <c r="J77" s="5">
        <v>2140</v>
      </c>
      <c r="K77" s="29" t="e">
        <f>D77/#REF!</f>
        <v>#REF!</v>
      </c>
    </row>
    <row r="78" spans="1:11" x14ac:dyDescent="0.2">
      <c r="A78" s="35"/>
      <c r="B78" s="38" t="s">
        <v>126</v>
      </c>
      <c r="C78" s="23" t="s">
        <v>49</v>
      </c>
      <c r="D78" s="23">
        <v>1.07</v>
      </c>
      <c r="E78" s="23">
        <v>1.07</v>
      </c>
      <c r="F78" s="39">
        <v>1.07</v>
      </c>
      <c r="G78" s="39"/>
      <c r="H78" s="36"/>
      <c r="I78" s="41"/>
      <c r="K78" s="29" t="e">
        <f>D78/#REF!</f>
        <v>#REF!</v>
      </c>
    </row>
    <row r="79" spans="1:11" ht="22.5" customHeight="1" x14ac:dyDescent="0.2">
      <c r="A79" s="35"/>
      <c r="B79" s="38" t="s">
        <v>127</v>
      </c>
      <c r="C79" s="23" t="s">
        <v>85</v>
      </c>
      <c r="D79" s="23" t="s">
        <v>128</v>
      </c>
      <c r="E79" s="23" t="s">
        <v>128</v>
      </c>
      <c r="F79" s="39" t="s">
        <v>128</v>
      </c>
      <c r="G79" s="39"/>
      <c r="H79" s="36"/>
      <c r="I79" s="41"/>
      <c r="K79" s="29" t="e">
        <f>D79/#REF!</f>
        <v>#VALUE!</v>
      </c>
    </row>
    <row r="80" spans="1:11" ht="18.75" customHeight="1" x14ac:dyDescent="0.2">
      <c r="A80" s="35"/>
      <c r="B80" s="38" t="s">
        <v>129</v>
      </c>
      <c r="C80" s="23" t="s">
        <v>85</v>
      </c>
      <c r="D80" s="23" t="s">
        <v>128</v>
      </c>
      <c r="E80" s="23" t="s">
        <v>128</v>
      </c>
      <c r="F80" s="39" t="s">
        <v>128</v>
      </c>
      <c r="G80" s="39"/>
      <c r="H80" s="36"/>
      <c r="I80" s="41"/>
      <c r="K80" s="29" t="e">
        <f>D80/#REF!</f>
        <v>#VALUE!</v>
      </c>
    </row>
    <row r="81" spans="1:11" x14ac:dyDescent="0.2">
      <c r="A81" s="35"/>
      <c r="B81" s="38" t="s">
        <v>130</v>
      </c>
      <c r="C81" s="23" t="s">
        <v>85</v>
      </c>
      <c r="D81" s="23">
        <v>1.9E-2</v>
      </c>
      <c r="E81" s="23">
        <v>1.9E-2</v>
      </c>
      <c r="F81" s="39">
        <v>1.9E-2</v>
      </c>
      <c r="G81" s="39"/>
      <c r="H81" s="36"/>
      <c r="I81" s="41"/>
      <c r="K81" s="29" t="e">
        <f>D81/#REF!</f>
        <v>#REF!</v>
      </c>
    </row>
    <row r="82" spans="1:11" ht="47.25" x14ac:dyDescent="0.2">
      <c r="A82" s="35">
        <v>48</v>
      </c>
      <c r="B82" s="22" t="str">
        <f>[1]расчёт_ОЦТАр!B63</f>
        <v>Смена отдельных участков чугунных канализационных труб диаметром 50 мм</v>
      </c>
      <c r="C82" s="23" t="str">
        <f>[1]Р_ЗПЛ_Т!C60</f>
        <v>м</v>
      </c>
      <c r="D82" s="24">
        <f>[1]расчёт_ОЦТАр!R63</f>
        <v>30</v>
      </c>
      <c r="E82" s="24">
        <f>11878*1.005</f>
        <v>11937.39</v>
      </c>
      <c r="F82" s="25">
        <v>25.930857386494967</v>
      </c>
      <c r="G82" s="25">
        <f>F82*1.2</f>
        <v>31.117028863793958</v>
      </c>
      <c r="H82" s="36" t="s">
        <v>131</v>
      </c>
      <c r="I82" s="41" t="s">
        <v>132</v>
      </c>
      <c r="J82" s="5">
        <v>4740</v>
      </c>
      <c r="K82" s="29" t="e">
        <f>D82/#REF!</f>
        <v>#REF!</v>
      </c>
    </row>
    <row r="83" spans="1:11" x14ac:dyDescent="0.2">
      <c r="A83" s="35"/>
      <c r="B83" s="38" t="s">
        <v>133</v>
      </c>
      <c r="C83" s="23" t="s">
        <v>49</v>
      </c>
      <c r="D83" s="23">
        <v>1.03</v>
      </c>
      <c r="E83" s="23">
        <v>1.03</v>
      </c>
      <c r="F83" s="39">
        <v>1.03</v>
      </c>
      <c r="G83" s="39"/>
      <c r="H83" s="36"/>
      <c r="I83" s="41"/>
      <c r="K83" s="29" t="e">
        <f>D83/#REF!</f>
        <v>#REF!</v>
      </c>
    </row>
    <row r="84" spans="1:11" ht="24" customHeight="1" x14ac:dyDescent="0.2">
      <c r="A84" s="35"/>
      <c r="B84" s="38" t="s">
        <v>129</v>
      </c>
      <c r="C84" s="23" t="s">
        <v>85</v>
      </c>
      <c r="D84" s="23" t="s">
        <v>128</v>
      </c>
      <c r="E84" s="23" t="s">
        <v>128</v>
      </c>
      <c r="F84" s="39" t="s">
        <v>128</v>
      </c>
      <c r="G84" s="39"/>
      <c r="H84" s="36"/>
      <c r="I84" s="41"/>
      <c r="K84" s="29" t="e">
        <f>D84/#REF!</f>
        <v>#VALUE!</v>
      </c>
    </row>
    <row r="85" spans="1:11" x14ac:dyDescent="0.2">
      <c r="A85" s="35"/>
      <c r="B85" s="38" t="s">
        <v>134</v>
      </c>
      <c r="C85" s="23" t="s">
        <v>85</v>
      </c>
      <c r="D85" s="23">
        <v>0.18</v>
      </c>
      <c r="E85" s="23">
        <v>0.18</v>
      </c>
      <c r="F85" s="39">
        <v>0.18</v>
      </c>
      <c r="G85" s="39"/>
      <c r="H85" s="36"/>
      <c r="I85" s="41"/>
      <c r="K85" s="29" t="e">
        <f>D85/#REF!</f>
        <v>#REF!</v>
      </c>
    </row>
    <row r="86" spans="1:11" x14ac:dyDescent="0.2">
      <c r="A86" s="35"/>
      <c r="B86" s="38" t="s">
        <v>135</v>
      </c>
      <c r="C86" s="23" t="s">
        <v>85</v>
      </c>
      <c r="D86" s="23">
        <v>0.51</v>
      </c>
      <c r="E86" s="23">
        <v>0.51</v>
      </c>
      <c r="F86" s="39">
        <v>0.51</v>
      </c>
      <c r="G86" s="39"/>
      <c r="H86" s="36"/>
      <c r="I86" s="41"/>
      <c r="K86" s="29" t="e">
        <f>D86/#REF!</f>
        <v>#REF!</v>
      </c>
    </row>
    <row r="87" spans="1:11" ht="47.25" x14ac:dyDescent="0.2">
      <c r="A87" s="35">
        <v>49</v>
      </c>
      <c r="B87" s="22" t="str">
        <f>[1]расчёт_ОЦТАр!B64</f>
        <v>Смена отдельных участков чугунных канализационных труб диаметром 100 мм</v>
      </c>
      <c r="C87" s="23" t="str">
        <f>[1]Р_ЗПЛ_Т!C61</f>
        <v>м</v>
      </c>
      <c r="D87" s="24">
        <f>[1]расчёт_ОЦТАр!R64</f>
        <v>40</v>
      </c>
      <c r="E87" s="24">
        <f>16393*1.005</f>
        <v>16474.964999999997</v>
      </c>
      <c r="F87" s="25">
        <v>35.773226613485761</v>
      </c>
      <c r="G87" s="25">
        <f>F87*1.2</f>
        <v>42.92787193618291</v>
      </c>
      <c r="H87" s="36" t="s">
        <v>131</v>
      </c>
      <c r="I87" s="41" t="s">
        <v>136</v>
      </c>
      <c r="J87" s="5">
        <v>6530</v>
      </c>
      <c r="K87" s="29" t="e">
        <f>D87/#REF!</f>
        <v>#REF!</v>
      </c>
    </row>
    <row r="88" spans="1:11" x14ac:dyDescent="0.2">
      <c r="A88" s="35"/>
      <c r="B88" s="38" t="s">
        <v>133</v>
      </c>
      <c r="C88" s="23" t="s">
        <v>49</v>
      </c>
      <c r="D88" s="23">
        <v>1.03</v>
      </c>
      <c r="E88" s="23">
        <v>1.03</v>
      </c>
      <c r="F88" s="39">
        <v>1.03</v>
      </c>
      <c r="G88" s="39"/>
      <c r="H88" s="36"/>
      <c r="I88" s="41"/>
      <c r="K88" s="29" t="e">
        <f>D88/#REF!</f>
        <v>#REF!</v>
      </c>
    </row>
    <row r="89" spans="1:11" ht="19.5" customHeight="1" x14ac:dyDescent="0.2">
      <c r="A89" s="35"/>
      <c r="B89" s="38" t="s">
        <v>129</v>
      </c>
      <c r="C89" s="23" t="s">
        <v>85</v>
      </c>
      <c r="D89" s="23" t="s">
        <v>128</v>
      </c>
      <c r="E89" s="23" t="s">
        <v>128</v>
      </c>
      <c r="F89" s="39" t="s">
        <v>128</v>
      </c>
      <c r="G89" s="39"/>
      <c r="H89" s="36"/>
      <c r="I89" s="41"/>
      <c r="K89" s="29" t="e">
        <f>D89/#REF!</f>
        <v>#VALUE!</v>
      </c>
    </row>
    <row r="90" spans="1:11" x14ac:dyDescent="0.2">
      <c r="A90" s="35"/>
      <c r="B90" s="38" t="s">
        <v>134</v>
      </c>
      <c r="C90" s="23" t="s">
        <v>85</v>
      </c>
      <c r="D90" s="23">
        <v>0.24</v>
      </c>
      <c r="E90" s="23">
        <v>0.24</v>
      </c>
      <c r="F90" s="39">
        <v>0.24</v>
      </c>
      <c r="G90" s="39"/>
      <c r="H90" s="36"/>
      <c r="I90" s="41"/>
      <c r="K90" s="29" t="e">
        <f>D90/#REF!</f>
        <v>#REF!</v>
      </c>
    </row>
    <row r="91" spans="1:11" x14ac:dyDescent="0.2">
      <c r="A91" s="35"/>
      <c r="B91" s="38" t="s">
        <v>135</v>
      </c>
      <c r="C91" s="23" t="s">
        <v>85</v>
      </c>
      <c r="D91" s="23">
        <v>0.8</v>
      </c>
      <c r="E91" s="23">
        <v>0.8</v>
      </c>
      <c r="F91" s="39">
        <v>0.8</v>
      </c>
      <c r="G91" s="39"/>
      <c r="H91" s="36"/>
      <c r="I91" s="41"/>
      <c r="K91" s="29" t="e">
        <f>D91/#REF!</f>
        <v>#REF!</v>
      </c>
    </row>
    <row r="92" spans="1:11" ht="47.25" x14ac:dyDescent="0.2">
      <c r="A92" s="35">
        <v>50</v>
      </c>
      <c r="B92" s="22" t="str">
        <f>[1]расчёт_ОЦТАр!B65</f>
        <v>Смена отдельных участков чугунных канализационных труб диаметром 150 мм</v>
      </c>
      <c r="C92" s="23" t="str">
        <f>[1]Р_ЗПЛ_Т!C62</f>
        <v>м</v>
      </c>
      <c r="D92" s="24">
        <f>[1]расчёт_ОЦТАр!R65</f>
        <v>50</v>
      </c>
      <c r="E92" s="24">
        <f>22544*1.005</f>
        <v>22656.719999999998</v>
      </c>
      <c r="F92" s="25">
        <v>49.211846134953959</v>
      </c>
      <c r="G92" s="25">
        <f>F92*1.2</f>
        <v>59.054215361944749</v>
      </c>
      <c r="H92" s="36" t="s">
        <v>137</v>
      </c>
      <c r="I92" s="41" t="s">
        <v>138</v>
      </c>
      <c r="J92" s="5">
        <v>8990</v>
      </c>
      <c r="K92" s="29" t="e">
        <f>D92/#REF!</f>
        <v>#REF!</v>
      </c>
    </row>
    <row r="93" spans="1:11" x14ac:dyDescent="0.2">
      <c r="A93" s="35"/>
      <c r="B93" s="38" t="s">
        <v>133</v>
      </c>
      <c r="C93" s="23" t="s">
        <v>49</v>
      </c>
      <c r="D93" s="23">
        <v>1.03</v>
      </c>
      <c r="E93" s="23">
        <v>1.03</v>
      </c>
      <c r="F93" s="39">
        <v>1.03</v>
      </c>
      <c r="G93" s="39"/>
      <c r="H93" s="36"/>
      <c r="I93" s="41"/>
      <c r="K93" s="29" t="e">
        <f>D93/#REF!</f>
        <v>#REF!</v>
      </c>
    </row>
    <row r="94" spans="1:11" ht="22.5" customHeight="1" x14ac:dyDescent="0.2">
      <c r="A94" s="35"/>
      <c r="B94" s="38" t="s">
        <v>129</v>
      </c>
      <c r="C94" s="23" t="s">
        <v>85</v>
      </c>
      <c r="D94" s="23" t="s">
        <v>128</v>
      </c>
      <c r="E94" s="23" t="s">
        <v>128</v>
      </c>
      <c r="F94" s="39" t="s">
        <v>128</v>
      </c>
      <c r="G94" s="39"/>
      <c r="H94" s="36"/>
      <c r="I94" s="41"/>
      <c r="K94" s="29" t="e">
        <f>D94/#REF!</f>
        <v>#VALUE!</v>
      </c>
    </row>
    <row r="95" spans="1:11" x14ac:dyDescent="0.2">
      <c r="A95" s="35"/>
      <c r="B95" s="38" t="s">
        <v>134</v>
      </c>
      <c r="C95" s="23" t="s">
        <v>85</v>
      </c>
      <c r="D95" s="23">
        <v>2.2000000000000002</v>
      </c>
      <c r="E95" s="23">
        <v>2.2000000000000002</v>
      </c>
      <c r="F95" s="39">
        <v>2.2000000000000002</v>
      </c>
      <c r="G95" s="39"/>
      <c r="H95" s="36"/>
      <c r="I95" s="41"/>
      <c r="K95" s="29" t="e">
        <f>D95/#REF!</f>
        <v>#REF!</v>
      </c>
    </row>
    <row r="96" spans="1:11" x14ac:dyDescent="0.2">
      <c r="A96" s="35"/>
      <c r="B96" s="38" t="s">
        <v>135</v>
      </c>
      <c r="C96" s="23" t="s">
        <v>85</v>
      </c>
      <c r="D96" s="23">
        <v>0.3</v>
      </c>
      <c r="E96" s="23">
        <v>0.3</v>
      </c>
      <c r="F96" s="39">
        <v>0.3</v>
      </c>
      <c r="G96" s="39"/>
      <c r="H96" s="36"/>
      <c r="I96" s="41"/>
      <c r="K96" s="29" t="e">
        <f>D96/#REF!</f>
        <v>#REF!</v>
      </c>
    </row>
    <row r="97" spans="1:11" ht="18.75" x14ac:dyDescent="0.2">
      <c r="A97" s="35">
        <v>51</v>
      </c>
      <c r="B97" s="22" t="str">
        <f>[1]расчёт_ОЦТАр!B66</f>
        <v>Смена сифона к санитарному прибору</v>
      </c>
      <c r="C97" s="23" t="str">
        <f>[1]Р_ЗПЛ_Т!C63</f>
        <v>шт.</v>
      </c>
      <c r="D97" s="24">
        <f>[1]расчёт_ОЦТАр!R66</f>
        <v>10</v>
      </c>
      <c r="E97" s="24">
        <f>6242*1.005</f>
        <v>6273.2099999999991</v>
      </c>
      <c r="F97" s="25">
        <v>13.627895852756483</v>
      </c>
      <c r="G97" s="25">
        <f>F97*1.2</f>
        <v>16.35347502330778</v>
      </c>
      <c r="H97" s="36" t="s">
        <v>139</v>
      </c>
      <c r="I97" s="41" t="s">
        <v>140</v>
      </c>
      <c r="J97" s="5">
        <v>2490</v>
      </c>
      <c r="K97" s="29" t="e">
        <f>D97/#REF!</f>
        <v>#REF!</v>
      </c>
    </row>
    <row r="98" spans="1:11" x14ac:dyDescent="0.2">
      <c r="A98" s="35"/>
      <c r="B98" s="38" t="s">
        <v>141</v>
      </c>
      <c r="C98" s="23" t="s">
        <v>112</v>
      </c>
      <c r="D98" s="23">
        <v>1</v>
      </c>
      <c r="E98" s="23">
        <v>1</v>
      </c>
      <c r="F98" s="39">
        <v>1</v>
      </c>
      <c r="G98" s="39"/>
      <c r="H98" s="36"/>
      <c r="I98" s="41"/>
      <c r="K98" s="29" t="e">
        <f>D98/#REF!</f>
        <v>#REF!</v>
      </c>
    </row>
    <row r="99" spans="1:11" x14ac:dyDescent="0.2">
      <c r="A99" s="35"/>
      <c r="B99" s="38" t="s">
        <v>134</v>
      </c>
      <c r="C99" s="23" t="s">
        <v>85</v>
      </c>
      <c r="D99" s="23">
        <v>0.13</v>
      </c>
      <c r="E99" s="23">
        <v>0.13</v>
      </c>
      <c r="F99" s="39">
        <v>0.13</v>
      </c>
      <c r="G99" s="39"/>
      <c r="H99" s="36"/>
      <c r="I99" s="41"/>
      <c r="K99" s="29" t="e">
        <f>D99/#REF!</f>
        <v>#REF!</v>
      </c>
    </row>
    <row r="100" spans="1:11" x14ac:dyDescent="0.2">
      <c r="A100" s="35"/>
      <c r="B100" s="38" t="s">
        <v>135</v>
      </c>
      <c r="C100" s="23" t="s">
        <v>85</v>
      </c>
      <c r="D100" s="23">
        <v>0.45</v>
      </c>
      <c r="E100" s="23">
        <v>0.45</v>
      </c>
      <c r="F100" s="39">
        <v>0.45</v>
      </c>
      <c r="G100" s="39"/>
      <c r="H100" s="36"/>
      <c r="I100" s="41"/>
      <c r="K100" s="29" t="e">
        <f>D100/#REF!</f>
        <v>#REF!</v>
      </c>
    </row>
    <row r="101" spans="1:11" ht="18.75" x14ac:dyDescent="0.2">
      <c r="A101" s="35">
        <v>52</v>
      </c>
      <c r="B101" s="22" t="str">
        <f>[1]расчёт_ОЦТАр!B67</f>
        <v>Смена водоразборных кранов</v>
      </c>
      <c r="C101" s="23" t="str">
        <f>[1]Р_ЗПЛ_Т!C64</f>
        <v>шт.</v>
      </c>
      <c r="D101" s="24">
        <f>[1]расчёт_ОЦТАр!R67</f>
        <v>10</v>
      </c>
      <c r="E101" s="24">
        <f>2858*1.005</f>
        <v>2872.2899999999995</v>
      </c>
      <c r="F101" s="25">
        <v>6.2461189325133883</v>
      </c>
      <c r="G101" s="25">
        <f>F101*1.2</f>
        <v>7.4953427190160653</v>
      </c>
      <c r="H101" s="36" t="s">
        <v>142</v>
      </c>
      <c r="I101" s="41" t="s">
        <v>143</v>
      </c>
      <c r="J101" s="5">
        <v>1140</v>
      </c>
      <c r="K101" s="29" t="e">
        <f>D101/#REF!</f>
        <v>#REF!</v>
      </c>
    </row>
    <row r="102" spans="1:11" x14ac:dyDescent="0.2">
      <c r="A102" s="35"/>
      <c r="B102" s="38" t="s">
        <v>144</v>
      </c>
      <c r="C102" s="23" t="s">
        <v>52</v>
      </c>
      <c r="D102" s="23">
        <v>1</v>
      </c>
      <c r="E102" s="23">
        <v>1</v>
      </c>
      <c r="F102" s="39">
        <v>1</v>
      </c>
      <c r="G102" s="39"/>
      <c r="H102" s="36"/>
      <c r="I102" s="41"/>
      <c r="K102" s="29" t="e">
        <f>D102/#REF!</f>
        <v>#REF!</v>
      </c>
    </row>
    <row r="103" spans="1:11" x14ac:dyDescent="0.2">
      <c r="A103" s="35"/>
      <c r="B103" s="38" t="s">
        <v>145</v>
      </c>
      <c r="C103" s="23" t="s">
        <v>85</v>
      </c>
      <c r="D103" s="23">
        <v>3.1E-2</v>
      </c>
      <c r="E103" s="23">
        <v>3.1E-2</v>
      </c>
      <c r="F103" s="39">
        <v>3.1E-2</v>
      </c>
      <c r="G103" s="39"/>
      <c r="H103" s="36"/>
      <c r="I103" s="41"/>
      <c r="K103" s="29" t="e">
        <f>D103/#REF!</f>
        <v>#REF!</v>
      </c>
    </row>
    <row r="104" spans="1:11" ht="31.5" x14ac:dyDescent="0.2">
      <c r="A104" s="35">
        <v>53</v>
      </c>
      <c r="B104" s="22" t="str">
        <f>[1]расчёт_ОЦТАр!B68</f>
        <v>Смена смесителя настенного для умывальников, моек или раковин</v>
      </c>
      <c r="C104" s="23" t="str">
        <f>[1]Р_ЗПЛ_Т!C65</f>
        <v>шт.</v>
      </c>
      <c r="D104" s="24">
        <f>[1]расчёт_ОЦТАр!R68</f>
        <v>20</v>
      </c>
      <c r="E104" s="24">
        <f>9544*1.005</f>
        <v>9591.7199999999993</v>
      </c>
      <c r="F104" s="25">
        <v>20.820396441711296</v>
      </c>
      <c r="G104" s="25">
        <f>F104*1.2</f>
        <v>24.984475730053553</v>
      </c>
      <c r="H104" s="36" t="s">
        <v>43</v>
      </c>
      <c r="I104" s="41" t="s">
        <v>146</v>
      </c>
      <c r="J104" s="5">
        <v>3800</v>
      </c>
      <c r="K104" s="29" t="e">
        <f>D104/#REF!</f>
        <v>#REF!</v>
      </c>
    </row>
    <row r="105" spans="1:11" x14ac:dyDescent="0.2">
      <c r="A105" s="35"/>
      <c r="B105" s="38" t="s">
        <v>147</v>
      </c>
      <c r="C105" s="23" t="s">
        <v>112</v>
      </c>
      <c r="D105" s="23">
        <v>1</v>
      </c>
      <c r="E105" s="23">
        <v>1</v>
      </c>
      <c r="F105" s="39">
        <v>1</v>
      </c>
      <c r="G105" s="39"/>
      <c r="H105" s="36"/>
      <c r="I105" s="41"/>
      <c r="K105" s="29" t="e">
        <f>D105/#REF!</f>
        <v>#REF!</v>
      </c>
    </row>
    <row r="106" spans="1:11" x14ac:dyDescent="0.2">
      <c r="A106" s="35"/>
      <c r="B106" s="38" t="s">
        <v>145</v>
      </c>
      <c r="C106" s="23" t="s">
        <v>85</v>
      </c>
      <c r="D106" s="23">
        <v>2.1000000000000001E-2</v>
      </c>
      <c r="E106" s="23">
        <v>2.1000000000000001E-2</v>
      </c>
      <c r="F106" s="39">
        <v>2.1000000000000001E-2</v>
      </c>
      <c r="G106" s="39"/>
      <c r="H106" s="36"/>
      <c r="I106" s="41"/>
      <c r="K106" s="29" t="e">
        <f>D106/#REF!</f>
        <v>#REF!</v>
      </c>
    </row>
    <row r="107" spans="1:11" ht="31.5" x14ac:dyDescent="0.2">
      <c r="A107" s="35">
        <v>54</v>
      </c>
      <c r="B107" s="22" t="str">
        <f>[1]расчёт_ОЦТАр!B69</f>
        <v>Смена смесителя настольного для умывальников, моек или раковин</v>
      </c>
      <c r="C107" s="23" t="str">
        <f>[1]Р_ЗПЛ_Т!C66</f>
        <v>шт.</v>
      </c>
      <c r="D107" s="24">
        <f>[1]расчёт_ОЦТАр!R69</f>
        <v>30</v>
      </c>
      <c r="E107" s="24">
        <f>15615*1.005</f>
        <v>15693.074999999999</v>
      </c>
      <c r="F107" s="25">
        <v>34.069739631891203</v>
      </c>
      <c r="G107" s="25">
        <f>F107*1.2</f>
        <v>40.883687558269443</v>
      </c>
      <c r="H107" s="36" t="s">
        <v>43</v>
      </c>
      <c r="I107" s="41" t="s">
        <v>148</v>
      </c>
      <c r="J107" s="5">
        <v>6220</v>
      </c>
      <c r="K107" s="29" t="e">
        <f>D107/#REF!</f>
        <v>#REF!</v>
      </c>
    </row>
    <row r="108" spans="1:11" x14ac:dyDescent="0.2">
      <c r="A108" s="35"/>
      <c r="B108" s="38" t="s">
        <v>147</v>
      </c>
      <c r="C108" s="23" t="s">
        <v>112</v>
      </c>
      <c r="D108" s="23">
        <v>1</v>
      </c>
      <c r="E108" s="23">
        <v>1</v>
      </c>
      <c r="F108" s="39">
        <v>1</v>
      </c>
      <c r="G108" s="39"/>
      <c r="H108" s="36"/>
      <c r="I108" s="41"/>
      <c r="K108" s="29" t="e">
        <f>D108/#REF!</f>
        <v>#REF!</v>
      </c>
    </row>
    <row r="109" spans="1:11" x14ac:dyDescent="0.2">
      <c r="A109" s="35"/>
      <c r="B109" s="38" t="s">
        <v>145</v>
      </c>
      <c r="C109" s="23" t="s">
        <v>85</v>
      </c>
      <c r="D109" s="23">
        <v>2.1000000000000001E-2</v>
      </c>
      <c r="E109" s="23">
        <v>2.1000000000000001E-2</v>
      </c>
      <c r="F109" s="39">
        <v>2.1000000000000001E-2</v>
      </c>
      <c r="G109" s="39"/>
      <c r="H109" s="36"/>
      <c r="I109" s="41"/>
      <c r="K109" s="29" t="e">
        <f>D109/#REF!</f>
        <v>#REF!</v>
      </c>
    </row>
    <row r="110" spans="1:11" ht="18.75" x14ac:dyDescent="0.2">
      <c r="A110" s="35">
        <v>55</v>
      </c>
      <c r="B110" s="22" t="str">
        <f>[1]расчёт_ОЦТАр!B70</f>
        <v>Ремонт смесителя</v>
      </c>
      <c r="C110" s="23" t="str">
        <f>[1]Р_ЗПЛ_Т!C67</f>
        <v>шт.</v>
      </c>
      <c r="D110" s="24">
        <f>[1]расчёт_ОЦТАр!R70</f>
        <v>10</v>
      </c>
      <c r="E110" s="24">
        <f>5202*1.005</f>
        <v>5228.0099999999993</v>
      </c>
      <c r="F110" s="25">
        <v>11.356579877297065</v>
      </c>
      <c r="G110" s="25">
        <f>F110*1.2</f>
        <v>13.627895852756478</v>
      </c>
      <c r="H110" s="36" t="s">
        <v>149</v>
      </c>
      <c r="I110" s="41" t="s">
        <v>150</v>
      </c>
      <c r="J110" s="5">
        <v>2070</v>
      </c>
      <c r="K110" s="29" t="e">
        <f>D110/#REF!</f>
        <v>#REF!</v>
      </c>
    </row>
    <row r="111" spans="1:11" x14ac:dyDescent="0.2">
      <c r="A111" s="35"/>
      <c r="B111" s="38" t="s">
        <v>151</v>
      </c>
      <c r="C111" s="23" t="s">
        <v>52</v>
      </c>
      <c r="D111" s="23">
        <v>2</v>
      </c>
      <c r="E111" s="23">
        <v>2</v>
      </c>
      <c r="F111" s="39">
        <v>2</v>
      </c>
      <c r="G111" s="39"/>
      <c r="H111" s="36"/>
      <c r="I111" s="41"/>
      <c r="K111" s="29" t="e">
        <f>D111/#REF!</f>
        <v>#REF!</v>
      </c>
    </row>
    <row r="112" spans="1:11" ht="18.75" x14ac:dyDescent="0.2">
      <c r="A112" s="21">
        <v>56</v>
      </c>
      <c r="B112" s="22" t="str">
        <f>[1]расчёт_ОЦТАр!B71</f>
        <v>Прочистка засора сифона и выпуска</v>
      </c>
      <c r="C112" s="23" t="str">
        <f>[1]Р_ЗПЛ_Т!C68</f>
        <v>прибор</v>
      </c>
      <c r="D112" s="24">
        <f>[1]расчёт_ОЦТАр!R71</f>
        <v>10</v>
      </c>
      <c r="E112" s="24">
        <f>2606*1.005</f>
        <v>2619.0299999999997</v>
      </c>
      <c r="F112" s="25">
        <v>5.6782899386485326</v>
      </c>
      <c r="G112" s="25">
        <f>F112*1.2</f>
        <v>6.8139479263782388</v>
      </c>
      <c r="H112" s="26" t="s">
        <v>152</v>
      </c>
      <c r="I112" s="33" t="s">
        <v>153</v>
      </c>
      <c r="J112" s="5">
        <v>1040</v>
      </c>
      <c r="K112" s="29" t="e">
        <f>D112/#REF!</f>
        <v>#REF!</v>
      </c>
    </row>
    <row r="113" spans="1:14" ht="31.5" x14ac:dyDescent="0.2">
      <c r="A113" s="35">
        <v>57</v>
      </c>
      <c r="B113" s="22" t="str">
        <f>[1]расчёт_ОЦТАр!B72</f>
        <v>Установка форточки с её изготовлением и вставкой стекла</v>
      </c>
      <c r="C113" s="23" t="str">
        <f>[1]Р_ЗПЛ_Т!C69</f>
        <v>форточка</v>
      </c>
      <c r="D113" s="24">
        <f>[1]расчёт_ОЦТАр!R72</f>
        <v>60</v>
      </c>
      <c r="E113" s="24">
        <f>25069*1.005</f>
        <v>25194.344999999998</v>
      </c>
      <c r="F113" s="25">
        <v>54.700859742314222</v>
      </c>
      <c r="G113" s="25">
        <f>F113*1.2</f>
        <v>65.641031690777069</v>
      </c>
      <c r="H113" s="36" t="s">
        <v>154</v>
      </c>
      <c r="I113" s="44" t="s">
        <v>155</v>
      </c>
      <c r="J113" s="5">
        <v>9990</v>
      </c>
      <c r="K113" s="29" t="e">
        <f>D113/#REF!</f>
        <v>#REF!</v>
      </c>
    </row>
    <row r="114" spans="1:14" ht="18.75" x14ac:dyDescent="0.2">
      <c r="A114" s="35"/>
      <c r="B114" s="38" t="s">
        <v>156</v>
      </c>
      <c r="C114" s="23" t="s">
        <v>83</v>
      </c>
      <c r="D114" s="24"/>
      <c r="E114" s="24"/>
      <c r="F114" s="25"/>
      <c r="G114" s="25"/>
      <c r="H114" s="45"/>
      <c r="I114" s="46"/>
      <c r="K114" s="29" t="e">
        <f>D114/#REF!</f>
        <v>#REF!</v>
      </c>
    </row>
    <row r="115" spans="1:14" ht="18.75" x14ac:dyDescent="0.2">
      <c r="A115" s="35"/>
      <c r="B115" s="38" t="s">
        <v>157</v>
      </c>
      <c r="C115" s="23" t="s">
        <v>20</v>
      </c>
      <c r="D115" s="24"/>
      <c r="E115" s="24"/>
      <c r="F115" s="25"/>
      <c r="G115" s="25"/>
      <c r="H115" s="45"/>
      <c r="I115" s="46"/>
      <c r="K115" s="29" t="e">
        <f>D115/#REF!</f>
        <v>#REF!</v>
      </c>
    </row>
    <row r="116" spans="1:14" ht="18.75" x14ac:dyDescent="0.2">
      <c r="A116" s="35"/>
      <c r="B116" s="38" t="s">
        <v>158</v>
      </c>
      <c r="C116" s="23" t="s">
        <v>112</v>
      </c>
      <c r="D116" s="24"/>
      <c r="E116" s="24"/>
      <c r="F116" s="25"/>
      <c r="G116" s="25"/>
      <c r="H116" s="45"/>
      <c r="I116" s="46"/>
      <c r="K116" s="29" t="e">
        <f>D116/#REF!</f>
        <v>#REF!</v>
      </c>
    </row>
    <row r="117" spans="1:14" ht="31.5" x14ac:dyDescent="0.2">
      <c r="A117" s="35">
        <v>58</v>
      </c>
      <c r="B117" s="22" t="str">
        <f>[1]расчёт_ОЦТАр!B73</f>
        <v>Смена форточки</v>
      </c>
      <c r="C117" s="23" t="str">
        <f>[1]Р_ЗПЛ_Т!C70</f>
        <v>форточка</v>
      </c>
      <c r="D117" s="24">
        <f>[1]расчёт_ОЦТАр!R73</f>
        <v>10</v>
      </c>
      <c r="E117" s="24">
        <f>3990*1.005</f>
        <v>4009.9499999999994</v>
      </c>
      <c r="F117" s="25">
        <v>8.7067112392610841</v>
      </c>
      <c r="G117" s="25">
        <f>F117*1.2</f>
        <v>10.448053487113301</v>
      </c>
      <c r="H117" s="36" t="s">
        <v>159</v>
      </c>
      <c r="I117" s="44" t="s">
        <v>160</v>
      </c>
      <c r="J117" s="5">
        <v>1590</v>
      </c>
      <c r="K117" s="29" t="e">
        <f>D117/#REF!</f>
        <v>#REF!</v>
      </c>
    </row>
    <row r="118" spans="1:14" x14ac:dyDescent="0.2">
      <c r="A118" s="35"/>
      <c r="B118" s="38" t="s">
        <v>161</v>
      </c>
      <c r="C118" s="23" t="s">
        <v>52</v>
      </c>
      <c r="D118" s="23">
        <v>1</v>
      </c>
      <c r="E118" s="23">
        <v>1</v>
      </c>
      <c r="F118" s="39">
        <v>1</v>
      </c>
      <c r="G118" s="39"/>
      <c r="H118" s="36"/>
      <c r="I118" s="44"/>
      <c r="K118" s="29" t="e">
        <f>D118/#REF!</f>
        <v>#REF!</v>
      </c>
    </row>
    <row r="119" spans="1:14" x14ac:dyDescent="0.2">
      <c r="A119" s="35"/>
      <c r="B119" s="38" t="s">
        <v>158</v>
      </c>
      <c r="C119" s="23" t="s">
        <v>112</v>
      </c>
      <c r="D119" s="23">
        <v>1</v>
      </c>
      <c r="E119" s="23">
        <v>1</v>
      </c>
      <c r="F119" s="39">
        <v>1</v>
      </c>
      <c r="G119" s="39"/>
      <c r="H119" s="36"/>
      <c r="I119" s="44"/>
      <c r="K119" s="29" t="e">
        <f>D119/#REF!</f>
        <v>#REF!</v>
      </c>
    </row>
    <row r="120" spans="1:14" ht="51" x14ac:dyDescent="0.2">
      <c r="A120" s="21">
        <v>59</v>
      </c>
      <c r="B120" s="22" t="str">
        <f>[1]расчёт_ОЦТАр!B74</f>
        <v>Прочистка вентиляционных каналов, дымоходов</v>
      </c>
      <c r="C120" s="23" t="str">
        <f>[1]Р_ЗПЛ_Т!C71</f>
        <v>м</v>
      </c>
      <c r="D120" s="24">
        <f>[1]расчёт_ОЦТАр!R74</f>
        <v>10</v>
      </c>
      <c r="E120" s="24">
        <f>2000*1.005</f>
        <v>2009.9999999999998</v>
      </c>
      <c r="F120" s="25">
        <v>5.1997422331272114</v>
      </c>
      <c r="G120" s="25">
        <f>F120*1.2</f>
        <v>6.2396906797526537</v>
      </c>
      <c r="H120" s="26" t="s">
        <v>162</v>
      </c>
      <c r="I120" s="33"/>
      <c r="J120" s="5">
        <v>800</v>
      </c>
      <c r="K120" s="29" t="e">
        <f>D120/#REF!</f>
        <v>#REF!</v>
      </c>
    </row>
    <row r="121" spans="1:14" ht="31.5" x14ac:dyDescent="0.2">
      <c r="A121" s="35">
        <v>60</v>
      </c>
      <c r="B121" s="22" t="str">
        <f>[1]расчёт_ОЦТАр!B75</f>
        <v>Установка приборов учёта воды и фильтров к ним</v>
      </c>
      <c r="C121" s="23" t="str">
        <f>[1]Р_ЗПЛ_Т!C72</f>
        <v>прибор</v>
      </c>
      <c r="D121" s="24">
        <f>[1]расчёт_ОЦТАр!R75</f>
        <v>60</v>
      </c>
      <c r="E121" s="24">
        <f>28624*1.005</f>
        <v>28767.119999999995</v>
      </c>
      <c r="F121" s="25">
        <v>62.461189325133859</v>
      </c>
      <c r="G121" s="25">
        <f>F121*1.2</f>
        <v>74.953427190160625</v>
      </c>
      <c r="H121" s="36" t="s">
        <v>163</v>
      </c>
      <c r="I121" s="44" t="s">
        <v>164</v>
      </c>
      <c r="J121" s="5">
        <v>11280</v>
      </c>
      <c r="K121" s="29" t="e">
        <f>D121/#REF!</f>
        <v>#REF!</v>
      </c>
      <c r="N121" s="5">
        <f>43+28</f>
        <v>71</v>
      </c>
    </row>
    <row r="122" spans="1:14" x14ac:dyDescent="0.2">
      <c r="A122" s="35"/>
      <c r="B122" s="38" t="s">
        <v>165</v>
      </c>
      <c r="C122" s="23" t="s">
        <v>112</v>
      </c>
      <c r="D122" s="23">
        <v>1</v>
      </c>
      <c r="E122" s="23">
        <v>1</v>
      </c>
      <c r="F122" s="39">
        <v>1</v>
      </c>
      <c r="G122" s="39"/>
      <c r="H122" s="36"/>
      <c r="I122" s="44"/>
      <c r="K122" s="29" t="e">
        <f>D122/#REF!</f>
        <v>#REF!</v>
      </c>
    </row>
    <row r="123" spans="1:14" x14ac:dyDescent="0.2">
      <c r="A123" s="35"/>
      <c r="B123" s="38" t="s">
        <v>151</v>
      </c>
      <c r="C123" s="23" t="s">
        <v>166</v>
      </c>
      <c r="D123" s="23">
        <v>1</v>
      </c>
      <c r="E123" s="23">
        <v>1</v>
      </c>
      <c r="F123" s="39">
        <v>1</v>
      </c>
      <c r="G123" s="39"/>
      <c r="H123" s="36"/>
      <c r="I123" s="44"/>
      <c r="K123" s="29" t="e">
        <f>D123/#REF!</f>
        <v>#REF!</v>
      </c>
    </row>
    <row r="124" spans="1:14" ht="38.25" x14ac:dyDescent="0.2">
      <c r="A124" s="21">
        <v>61</v>
      </c>
      <c r="B124" s="22" t="str">
        <f>[1]расчёт_ОЦТАр!B76</f>
        <v>Снятие крайних секций радиатора</v>
      </c>
      <c r="C124" s="23" t="str">
        <f>[1]Р_ЗПЛ_Т!C73</f>
        <v>секция</v>
      </c>
      <c r="D124" s="24">
        <f>[1]расчёт_ОЦТАр!R76</f>
        <v>30</v>
      </c>
      <c r="E124" s="24">
        <f>11262*1.005</f>
        <v>11318.31</v>
      </c>
      <c r="F124" s="25">
        <v>28.041467042936034</v>
      </c>
      <c r="G124" s="25">
        <f>F124*1.2</f>
        <v>33.649760451523242</v>
      </c>
      <c r="H124" s="26" t="s">
        <v>167</v>
      </c>
      <c r="I124" s="33" t="s">
        <v>168</v>
      </c>
      <c r="J124" s="5">
        <v>4440</v>
      </c>
      <c r="K124" s="29" t="e">
        <f>D124/#REF!</f>
        <v>#REF!</v>
      </c>
    </row>
    <row r="125" spans="1:14" ht="38.25" x14ac:dyDescent="0.2">
      <c r="A125" s="21">
        <v>62</v>
      </c>
      <c r="B125" s="22" t="str">
        <f>[1]расчёт_ОЦТАр!B77</f>
        <v>Смена приборов учёта воды и фильтров к ним</v>
      </c>
      <c r="C125" s="23" t="str">
        <f>[1]Р_ЗПЛ_Т!C74</f>
        <v>прибор</v>
      </c>
      <c r="D125" s="24">
        <f>[1]расчёт_ОЦТАр!R77</f>
        <v>10</v>
      </c>
      <c r="E125" s="24">
        <f>4686*1.005</f>
        <v>4709.4299999999994</v>
      </c>
      <c r="F125" s="25">
        <v>10.220921889567363</v>
      </c>
      <c r="G125" s="25">
        <f>F125*1.2</f>
        <v>12.265106267480835</v>
      </c>
      <c r="H125" s="26" t="s">
        <v>169</v>
      </c>
      <c r="I125" s="27" t="s">
        <v>170</v>
      </c>
      <c r="J125" s="5">
        <v>1850</v>
      </c>
      <c r="K125" s="29" t="e">
        <f>D125/#REF!</f>
        <v>#REF!</v>
      </c>
    </row>
    <row r="126" spans="1:14" ht="31.5" x14ac:dyDescent="0.2">
      <c r="A126" s="21">
        <v>63</v>
      </c>
      <c r="B126" s="22" t="str">
        <f>[1]расчёт_ОЦТАр!B78</f>
        <v>Проверка на прогрев отопительных радиаторов с регулировкой</v>
      </c>
      <c r="C126" s="23" t="str">
        <f>[1]Р_ЗПЛ_Т!C75</f>
        <v>прибор</v>
      </c>
      <c r="D126" s="24">
        <f>[1]расчёт_ОЦТАр!R78</f>
        <v>0</v>
      </c>
      <c r="E126" s="24">
        <f>1272*1.005</f>
        <v>1278.3599999999999</v>
      </c>
      <c r="F126" s="25">
        <v>3.1569863558272355</v>
      </c>
      <c r="G126" s="25">
        <f>F126*1.2</f>
        <v>3.7883836269926823</v>
      </c>
      <c r="H126" s="26" t="s">
        <v>171</v>
      </c>
      <c r="I126" s="47" t="s">
        <v>172</v>
      </c>
    </row>
    <row r="127" spans="1:14" s="34" customFormat="1" ht="31.5" x14ac:dyDescent="0.25">
      <c r="A127" s="35">
        <v>64</v>
      </c>
      <c r="B127" s="22" t="str">
        <f>[1]расчёт_ОЦТАр!B79</f>
        <v>Смена сгонов у трубопроводов диаметром до 25мм</v>
      </c>
      <c r="C127" s="33"/>
      <c r="D127" s="24">
        <f>[1]расчёт_ОЦТАр!R79</f>
        <v>10</v>
      </c>
      <c r="E127" s="24">
        <f>3212*1.005</f>
        <v>3228.0599999999995</v>
      </c>
      <c r="F127" s="25">
        <v>7.0032242576665249</v>
      </c>
      <c r="G127" s="25">
        <f>F127*1.2</f>
        <v>8.4038691091998299</v>
      </c>
      <c r="H127" s="36" t="s">
        <v>173</v>
      </c>
      <c r="I127" s="48" t="s">
        <v>174</v>
      </c>
    </row>
    <row r="128" spans="1:14" s="34" customFormat="1" x14ac:dyDescent="0.25">
      <c r="A128" s="49"/>
      <c r="B128" s="38" t="s">
        <v>175</v>
      </c>
      <c r="C128" s="23" t="str">
        <f>[1]Р_ЗПЛ_Т!C76</f>
        <v>шт</v>
      </c>
      <c r="D128" s="50">
        <v>1</v>
      </c>
      <c r="E128" s="50">
        <v>1</v>
      </c>
      <c r="F128" s="39">
        <v>1</v>
      </c>
      <c r="G128" s="39"/>
      <c r="H128" s="36"/>
      <c r="I128" s="48"/>
    </row>
    <row r="129" spans="1:9" ht="31.5" x14ac:dyDescent="0.2">
      <c r="A129" s="35">
        <v>65</v>
      </c>
      <c r="B129" s="22" t="str">
        <f>[1]расчёт_ОЦТАр!B80</f>
        <v>Смена сгонов у трубопроводов диаметром свыше 25мм до 40мм</v>
      </c>
      <c r="C129" s="23" t="str">
        <f>[1]Р_ЗПЛ_Т!C77</f>
        <v>шт</v>
      </c>
      <c r="D129" s="24">
        <f>[1]расчёт_ОЦТАр!R80</f>
        <v>10</v>
      </c>
      <c r="E129" s="24">
        <f>5202*1.005</f>
        <v>5228.0099999999993</v>
      </c>
      <c r="F129" s="25">
        <v>11.356579877297065</v>
      </c>
      <c r="G129" s="25">
        <f>F129*1.2</f>
        <v>13.627895852756478</v>
      </c>
      <c r="H129" s="36" t="s">
        <v>173</v>
      </c>
      <c r="I129" s="48" t="s">
        <v>176</v>
      </c>
    </row>
    <row r="130" spans="1:9" x14ac:dyDescent="0.2">
      <c r="A130" s="35"/>
      <c r="B130" s="38" t="s">
        <v>175</v>
      </c>
      <c r="C130" s="23" t="str">
        <f>[1]Р_ЗПЛ_Т!C78</f>
        <v xml:space="preserve">шт </v>
      </c>
      <c r="D130" s="50">
        <v>1</v>
      </c>
      <c r="E130" s="50">
        <v>1</v>
      </c>
      <c r="F130" s="39">
        <v>1</v>
      </c>
      <c r="G130" s="39"/>
      <c r="H130" s="36"/>
      <c r="I130" s="48"/>
    </row>
    <row r="131" spans="1:9" ht="63" x14ac:dyDescent="0.2">
      <c r="A131" s="35">
        <v>66</v>
      </c>
      <c r="B131" s="22" t="str">
        <f>[1]расчёт_ОЦТАр!B81</f>
        <v>Смена крана двойной регулировки диаметром 20мм, проходных вентилей или оборотных клапанов диаметром до 50мм</v>
      </c>
      <c r="C131" s="51"/>
      <c r="D131" s="24">
        <f>[1]расчёт_ОЦТАр!R81</f>
        <v>20</v>
      </c>
      <c r="E131" s="24">
        <f>7980*1.005</f>
        <v>8019.8999999999987</v>
      </c>
      <c r="F131" s="25">
        <v>19.870443533736129</v>
      </c>
      <c r="G131" s="25">
        <f>F131*1.2</f>
        <v>23.844532240483353</v>
      </c>
      <c r="H131" s="36" t="s">
        <v>177</v>
      </c>
      <c r="I131" s="48" t="s">
        <v>178</v>
      </c>
    </row>
    <row r="132" spans="1:9" x14ac:dyDescent="0.2">
      <c r="A132" s="35"/>
      <c r="B132" s="38" t="s">
        <v>179</v>
      </c>
      <c r="C132" s="23" t="str">
        <f>[1]Р_ЗПЛ_Т!C78</f>
        <v xml:space="preserve">шт </v>
      </c>
      <c r="D132" s="50">
        <v>1</v>
      </c>
      <c r="E132" s="50">
        <v>1</v>
      </c>
      <c r="F132" s="39">
        <v>1</v>
      </c>
      <c r="G132" s="39"/>
      <c r="H132" s="36"/>
      <c r="I132" s="48"/>
    </row>
    <row r="133" spans="1:9" ht="18.75" x14ac:dyDescent="0.2">
      <c r="A133" s="35">
        <v>67</v>
      </c>
      <c r="B133" s="22" t="str">
        <f>[1]расчёт_ОЦТАр!B82</f>
        <v>Смена кронштейнов</v>
      </c>
      <c r="C133" s="23" t="str">
        <f>[1]Р_ЗПЛ_Т!C79</f>
        <v>шт</v>
      </c>
      <c r="D133" s="24">
        <f>[1]расчёт_ОЦТАр!R82</f>
        <v>10</v>
      </c>
      <c r="E133" s="24">
        <f>2313*1.005</f>
        <v>2324.5649999999996</v>
      </c>
      <c r="F133" s="25">
        <v>5.7568574723908412</v>
      </c>
      <c r="G133" s="25">
        <f>F133*1.2</f>
        <v>6.9082289668690091</v>
      </c>
      <c r="H133" s="36" t="s">
        <v>180</v>
      </c>
      <c r="I133" s="48" t="s">
        <v>181</v>
      </c>
    </row>
    <row r="134" spans="1:9" x14ac:dyDescent="0.2">
      <c r="A134" s="35"/>
      <c r="B134" s="38" t="s">
        <v>182</v>
      </c>
      <c r="C134" s="23" t="str">
        <f>[1]Р_ЗПЛ_Т!C80</f>
        <v>шт</v>
      </c>
      <c r="D134" s="50">
        <v>1</v>
      </c>
      <c r="E134" s="50">
        <v>1</v>
      </c>
      <c r="F134" s="39">
        <v>1</v>
      </c>
      <c r="G134" s="39"/>
      <c r="H134" s="36"/>
      <c r="I134" s="52"/>
    </row>
    <row r="135" spans="1:9" ht="18.75" x14ac:dyDescent="0.2">
      <c r="A135" s="35">
        <v>68</v>
      </c>
      <c r="B135" s="22" t="str">
        <f>[1]расчёт_ОЦТАр!B83</f>
        <v>Смена радиаторных пробок</v>
      </c>
      <c r="C135" s="51"/>
      <c r="D135" s="24">
        <f>[1]расчёт_ОЦТАр!R83</f>
        <v>10</v>
      </c>
      <c r="E135" s="24">
        <f>2313*1.005</f>
        <v>2324.5649999999996</v>
      </c>
      <c r="F135" s="25">
        <v>5.7568574723908412</v>
      </c>
      <c r="G135" s="25">
        <f>F135*1.2</f>
        <v>6.9082289668690091</v>
      </c>
      <c r="H135" s="36" t="s">
        <v>183</v>
      </c>
      <c r="I135" s="48" t="s">
        <v>184</v>
      </c>
    </row>
    <row r="136" spans="1:9" ht="31.5" x14ac:dyDescent="0.2">
      <c r="A136" s="35"/>
      <c r="B136" s="38" t="s">
        <v>185</v>
      </c>
      <c r="C136" s="23" t="str">
        <f>[1]Р_ЗПЛ_Т!C80</f>
        <v>шт</v>
      </c>
      <c r="D136" s="53">
        <v>1</v>
      </c>
      <c r="E136" s="53">
        <v>1</v>
      </c>
      <c r="F136" s="54">
        <v>1</v>
      </c>
      <c r="G136" s="54"/>
      <c r="H136" s="36"/>
      <c r="I136" s="48"/>
    </row>
    <row r="137" spans="1:9" ht="43.5" customHeight="1" x14ac:dyDescent="0.2">
      <c r="A137" s="35">
        <v>69</v>
      </c>
      <c r="B137" s="22" t="str">
        <f>[1]расчёт_ОЦТАр!B84</f>
        <v>Ремонт (ревизия и притирка) кранов пробкового типа, кран</v>
      </c>
      <c r="C137" s="23" t="str">
        <f>[1]Р_ЗПЛ_Т!C81</f>
        <v>м</v>
      </c>
      <c r="D137" s="24">
        <f>[1]расчёт_ОЦТАр!R84</f>
        <v>10</v>
      </c>
      <c r="E137" s="24">
        <f>3121*1.005</f>
        <v>3136.6049999999996</v>
      </c>
      <c r="F137" s="25">
        <v>6.8139479263782414</v>
      </c>
      <c r="G137" s="25">
        <f>F137*1.2</f>
        <v>8.1767375116538901</v>
      </c>
      <c r="H137" s="36" t="s">
        <v>186</v>
      </c>
      <c r="I137" s="48" t="s">
        <v>187</v>
      </c>
    </row>
    <row r="138" spans="1:9" x14ac:dyDescent="0.2">
      <c r="A138" s="35"/>
      <c r="B138" s="55" t="s">
        <v>188</v>
      </c>
      <c r="C138" s="33" t="s">
        <v>49</v>
      </c>
      <c r="D138" s="33">
        <v>0.01</v>
      </c>
      <c r="E138" s="33">
        <v>0.01</v>
      </c>
      <c r="F138" s="56">
        <v>0.01</v>
      </c>
      <c r="G138" s="56"/>
      <c r="H138" s="57"/>
      <c r="I138" s="46"/>
    </row>
    <row r="139" spans="1:9" ht="31.5" x14ac:dyDescent="0.2">
      <c r="A139" s="35">
        <v>70</v>
      </c>
      <c r="B139" s="58" t="str">
        <f>[1]расчёт_ОЦТАр!B85</f>
        <v>Ремонт (ревизия и притирка) кранов вентильного типа, кран</v>
      </c>
      <c r="C139" s="33" t="str">
        <f>[1]Р_ЗПЛ_Т!C82</f>
        <v>м</v>
      </c>
      <c r="D139" s="59">
        <f>[1]расчёт_ОЦТАр!R85</f>
        <v>0</v>
      </c>
      <c r="E139" s="59">
        <f>2252*1.005</f>
        <v>2263.2599999999998</v>
      </c>
      <c r="F139" s="60">
        <v>4.921184613495396</v>
      </c>
      <c r="G139" s="25">
        <f>F139*1.2</f>
        <v>5.9054215361944751</v>
      </c>
      <c r="H139" s="36" t="s">
        <v>189</v>
      </c>
      <c r="I139" s="48" t="s">
        <v>190</v>
      </c>
    </row>
    <row r="140" spans="1:9" x14ac:dyDescent="0.2">
      <c r="A140" s="35"/>
      <c r="B140" s="55" t="s">
        <v>188</v>
      </c>
      <c r="C140" s="33" t="s">
        <v>49</v>
      </c>
      <c r="D140" s="33">
        <v>0.01</v>
      </c>
      <c r="E140" s="33">
        <v>0.01</v>
      </c>
      <c r="F140" s="56">
        <v>0.01</v>
      </c>
      <c r="G140" s="56"/>
      <c r="H140" s="57"/>
      <c r="I140" s="46"/>
    </row>
    <row r="141" spans="1:9" ht="31.5" x14ac:dyDescent="0.2">
      <c r="A141" s="35">
        <v>71</v>
      </c>
      <c r="B141" s="58" t="str">
        <f>[1]расчёт_ОЦТАр!B86</f>
        <v>Установка микровоздушников на отопительных приборах</v>
      </c>
      <c r="C141" s="33"/>
      <c r="D141" s="59">
        <f>[1]расчёт_ОЦТАр!R86</f>
        <v>10</v>
      </c>
      <c r="E141" s="59">
        <f>3556*1.005</f>
        <v>3573.7799999999997</v>
      </c>
      <c r="F141" s="60">
        <v>7.7603295828196632</v>
      </c>
      <c r="G141" s="25">
        <f>F141*1.2</f>
        <v>9.3123954993835962</v>
      </c>
      <c r="H141" s="36" t="s">
        <v>191</v>
      </c>
      <c r="I141" s="48" t="s">
        <v>192</v>
      </c>
    </row>
    <row r="142" spans="1:9" x14ac:dyDescent="0.2">
      <c r="A142" s="35"/>
      <c r="B142" s="55" t="s">
        <v>193</v>
      </c>
      <c r="C142" s="33" t="s">
        <v>85</v>
      </c>
      <c r="D142" s="33">
        <v>6.0000000000000001E-3</v>
      </c>
      <c r="E142" s="33">
        <v>6.0000000000000001E-3</v>
      </c>
      <c r="F142" s="56">
        <v>6.0000000000000001E-3</v>
      </c>
      <c r="G142" s="56"/>
      <c r="H142" s="57"/>
      <c r="I142" s="46"/>
    </row>
    <row r="143" spans="1:9" x14ac:dyDescent="0.2">
      <c r="A143" s="35"/>
      <c r="B143" s="55" t="s">
        <v>194</v>
      </c>
      <c r="C143" s="33" t="s">
        <v>195</v>
      </c>
      <c r="D143" s="33">
        <v>1</v>
      </c>
      <c r="E143" s="33">
        <v>1</v>
      </c>
      <c r="F143" s="56">
        <v>1</v>
      </c>
      <c r="G143" s="56"/>
      <c r="H143" s="57"/>
      <c r="I143" s="46"/>
    </row>
    <row r="144" spans="1:9" x14ac:dyDescent="0.2">
      <c r="A144" s="35"/>
      <c r="B144" s="55" t="s">
        <v>196</v>
      </c>
      <c r="C144" s="33" t="s">
        <v>195</v>
      </c>
      <c r="D144" s="33">
        <v>1</v>
      </c>
      <c r="E144" s="33">
        <v>1</v>
      </c>
      <c r="F144" s="56">
        <v>1</v>
      </c>
      <c r="G144" s="56"/>
      <c r="H144" s="57"/>
      <c r="I144" s="46"/>
    </row>
    <row r="145" spans="1:9" ht="31.5" x14ac:dyDescent="0.2">
      <c r="A145" s="35">
        <v>72</v>
      </c>
      <c r="B145" s="58" t="str">
        <f>[1]расчёт_ОЦТАр!B87</f>
        <v>Замена микровоздушников на отопительных приборах</v>
      </c>
      <c r="C145" s="33"/>
      <c r="D145" s="59">
        <f>[1]расчёт_ОЦТАр!R87</f>
        <v>0</v>
      </c>
      <c r="E145" s="59">
        <f>1868*1.005</f>
        <v>1877.3399999999997</v>
      </c>
      <c r="F145" s="60">
        <v>4.6426269938635816</v>
      </c>
      <c r="G145" s="25">
        <f>F145*1.2</f>
        <v>5.5711523926362974</v>
      </c>
      <c r="H145" s="57" t="s">
        <v>197</v>
      </c>
      <c r="I145" s="48" t="s">
        <v>198</v>
      </c>
    </row>
    <row r="146" spans="1:9" x14ac:dyDescent="0.2">
      <c r="A146" s="35"/>
      <c r="B146" s="55" t="s">
        <v>193</v>
      </c>
      <c r="C146" s="33" t="s">
        <v>85</v>
      </c>
      <c r="D146" s="33">
        <v>6.0000000000000001E-3</v>
      </c>
      <c r="E146" s="33">
        <v>6.0000000000000001E-3</v>
      </c>
      <c r="F146" s="56">
        <v>6.0000000000000001E-3</v>
      </c>
      <c r="G146" s="56"/>
      <c r="H146" s="57"/>
      <c r="I146" s="61"/>
    </row>
    <row r="147" spans="1:9" x14ac:dyDescent="0.2">
      <c r="A147" s="35"/>
      <c r="B147" s="55" t="s">
        <v>194</v>
      </c>
      <c r="C147" s="33" t="s">
        <v>195</v>
      </c>
      <c r="D147" s="33">
        <v>1</v>
      </c>
      <c r="E147" s="33">
        <v>1</v>
      </c>
      <c r="F147" s="56">
        <v>1</v>
      </c>
      <c r="G147" s="56"/>
      <c r="H147" s="57"/>
      <c r="I147" s="61"/>
    </row>
    <row r="148" spans="1:9" ht="49.5" customHeight="1" x14ac:dyDescent="0.2">
      <c r="A148" s="21">
        <v>73</v>
      </c>
      <c r="B148" s="58" t="str">
        <f>[1]расчёт_ОЦТАр!B88</f>
        <v xml:space="preserve">Отключение воды по стояку (5эт) спуск воды из стояка и его наполнение водой и включение </v>
      </c>
      <c r="C148" s="33" t="str">
        <f>[1]Р_ЗПЛ_Т!C85</f>
        <v>стояк</v>
      </c>
      <c r="D148" s="59">
        <f>[1]расчёт_ОЦТАр!R88</f>
        <v>10</v>
      </c>
      <c r="E148" s="59">
        <f>3727*1.005</f>
        <v>3745.6349999999998</v>
      </c>
      <c r="F148" s="60">
        <v>9.2852539877271631</v>
      </c>
      <c r="G148" s="25">
        <f>F148*1.2</f>
        <v>11.142304785272595</v>
      </c>
      <c r="H148" s="62" t="s">
        <v>199</v>
      </c>
      <c r="I148" s="47" t="s">
        <v>200</v>
      </c>
    </row>
    <row r="149" spans="1:9" ht="18.75" x14ac:dyDescent="0.2">
      <c r="A149" s="21">
        <v>74</v>
      </c>
      <c r="B149" s="58" t="str">
        <f>[1]расчёт_ОЦТАр!B89</f>
        <v>Слитие стояка холодной воды</v>
      </c>
      <c r="C149" s="33" t="str">
        <f>[1]Р_ЗПЛ_Т!C86</f>
        <v>стояк</v>
      </c>
      <c r="D149" s="59">
        <f>[1]расчёт_ОЦТАр!R89</f>
        <v>10</v>
      </c>
      <c r="E149" s="59">
        <f>3727*1.005</f>
        <v>3745.6349999999998</v>
      </c>
      <c r="F149" s="60">
        <v>9.2852539877271631</v>
      </c>
      <c r="G149" s="25">
        <f>F149*1.2</f>
        <v>11.142304785272595</v>
      </c>
      <c r="H149" s="63" t="s">
        <v>201</v>
      </c>
      <c r="I149" s="47" t="s">
        <v>202</v>
      </c>
    </row>
    <row r="150" spans="1:9" ht="18.75" x14ac:dyDescent="0.2">
      <c r="A150" s="35">
        <v>75</v>
      </c>
      <c r="B150" s="58" t="str">
        <f>[1]расчёт_ОЦТАр!B90</f>
        <v>Смена сидения к унитазу</v>
      </c>
      <c r="C150" s="33"/>
      <c r="D150" s="59">
        <f>[1]расчёт_ОЦТАр!R90</f>
        <v>10</v>
      </c>
      <c r="E150" s="59">
        <f>5141*1.005</f>
        <v>5166.704999999999</v>
      </c>
      <c r="F150" s="60">
        <v>12.813650503063487</v>
      </c>
      <c r="G150" s="25">
        <f>F150*1.2</f>
        <v>15.376380603676184</v>
      </c>
      <c r="H150" s="64" t="s">
        <v>203</v>
      </c>
      <c r="I150" s="48" t="s">
        <v>204</v>
      </c>
    </row>
    <row r="151" spans="1:9" x14ac:dyDescent="0.2">
      <c r="A151" s="35"/>
      <c r="B151" s="55" t="s">
        <v>205</v>
      </c>
      <c r="C151" s="33" t="s">
        <v>112</v>
      </c>
      <c r="D151" s="33">
        <v>1</v>
      </c>
      <c r="E151" s="33">
        <v>1</v>
      </c>
      <c r="F151" s="56">
        <v>1</v>
      </c>
      <c r="G151" s="56"/>
      <c r="H151" s="49"/>
      <c r="I151" s="61"/>
    </row>
    <row r="152" spans="1:9" ht="18.75" x14ac:dyDescent="0.2">
      <c r="A152" s="35">
        <v>76</v>
      </c>
      <c r="B152" s="58" t="str">
        <f>[1]расчёт_ОЦТАр!B91</f>
        <v>Смена манжеты к унитазу</v>
      </c>
      <c r="C152" s="33"/>
      <c r="D152" s="59">
        <f>[1]расчёт_ОЦТАр!R91</f>
        <v>20</v>
      </c>
      <c r="E152" s="59">
        <f>5970*1.005</f>
        <v>5999.8499999999995</v>
      </c>
      <c r="F152" s="60">
        <v>14.85640638036346</v>
      </c>
      <c r="G152" s="25">
        <f>F152*1.2</f>
        <v>17.827687656436151</v>
      </c>
      <c r="H152" s="64" t="s">
        <v>206</v>
      </c>
      <c r="I152" s="48" t="s">
        <v>207</v>
      </c>
    </row>
    <row r="153" spans="1:9" x14ac:dyDescent="0.2">
      <c r="A153" s="35"/>
      <c r="B153" s="55" t="s">
        <v>127</v>
      </c>
      <c r="C153" s="33" t="s">
        <v>195</v>
      </c>
      <c r="D153" s="33">
        <v>1</v>
      </c>
      <c r="E153" s="33">
        <v>1</v>
      </c>
      <c r="F153" s="56">
        <v>1</v>
      </c>
      <c r="G153" s="56"/>
      <c r="H153" s="64"/>
      <c r="I153" s="61"/>
    </row>
    <row r="154" spans="1:9" x14ac:dyDescent="0.2">
      <c r="A154" s="35"/>
      <c r="B154" s="55" t="s">
        <v>208</v>
      </c>
      <c r="C154" s="33" t="s">
        <v>85</v>
      </c>
      <c r="D154" s="33">
        <v>0.05</v>
      </c>
      <c r="E154" s="33">
        <v>0.05</v>
      </c>
      <c r="F154" s="56">
        <v>0.05</v>
      </c>
      <c r="G154" s="56"/>
      <c r="H154" s="64"/>
      <c r="I154" s="61"/>
    </row>
    <row r="155" spans="1:9" ht="20.25" customHeight="1" x14ac:dyDescent="0.2">
      <c r="A155" s="35">
        <v>77</v>
      </c>
      <c r="B155" s="58" t="str">
        <f>[1]расчёт_ОЦТАр!B92</f>
        <v>Смена головки вентиля</v>
      </c>
      <c r="C155" s="33"/>
      <c r="D155" s="59">
        <f>[1]расчёт_ОЦТАр!R92</f>
        <v>10</v>
      </c>
      <c r="E155" s="59">
        <f>3040*1.005</f>
        <v>3055.2</v>
      </c>
      <c r="F155" s="60">
        <v>6.6246715950899571</v>
      </c>
      <c r="G155" s="25">
        <f>F155*1.2</f>
        <v>7.9496059141079485</v>
      </c>
      <c r="H155" s="64" t="s">
        <v>209</v>
      </c>
      <c r="I155" s="48" t="s">
        <v>210</v>
      </c>
    </row>
    <row r="156" spans="1:9" ht="20.25" customHeight="1" x14ac:dyDescent="0.2">
      <c r="A156" s="35"/>
      <c r="B156" s="55" t="s">
        <v>211</v>
      </c>
      <c r="C156" s="33" t="s">
        <v>195</v>
      </c>
      <c r="D156" s="33">
        <v>1</v>
      </c>
      <c r="E156" s="33">
        <v>1</v>
      </c>
      <c r="F156" s="56">
        <v>1</v>
      </c>
      <c r="G156" s="56"/>
      <c r="H156" s="49"/>
      <c r="I156" s="61"/>
    </row>
    <row r="157" spans="1:9" ht="47.25" x14ac:dyDescent="0.2">
      <c r="A157" s="35">
        <v>78</v>
      </c>
      <c r="B157" s="58" t="str">
        <f>[1]расчёт_ОЦТАр!B93</f>
        <v>Замена унитаза с высоко расположенным бочком на унитаз "компакт"</v>
      </c>
      <c r="C157" s="33"/>
      <c r="D157" s="59">
        <f>[1]расчёт_ОЦТАр!R93</f>
        <v>70</v>
      </c>
      <c r="E157" s="59">
        <f>31220*1.005</f>
        <v>31376.099999999995</v>
      </c>
      <c r="F157" s="60">
        <v>68.139479263782405</v>
      </c>
      <c r="G157" s="25">
        <f>F157*1.2</f>
        <v>81.767375116538886</v>
      </c>
      <c r="H157" s="64" t="s">
        <v>212</v>
      </c>
      <c r="I157" s="65" t="s">
        <v>213</v>
      </c>
    </row>
    <row r="158" spans="1:9" x14ac:dyDescent="0.2">
      <c r="A158" s="35"/>
      <c r="B158" s="55" t="s">
        <v>214</v>
      </c>
      <c r="C158" s="33" t="s">
        <v>112</v>
      </c>
      <c r="D158" s="33">
        <v>1</v>
      </c>
      <c r="E158" s="33">
        <v>1</v>
      </c>
      <c r="F158" s="56">
        <v>1</v>
      </c>
      <c r="G158" s="56"/>
      <c r="H158" s="64"/>
      <c r="I158" s="65"/>
    </row>
    <row r="159" spans="1:9" x14ac:dyDescent="0.2">
      <c r="A159" s="35"/>
      <c r="B159" s="55" t="s">
        <v>215</v>
      </c>
      <c r="C159" s="33" t="s">
        <v>195</v>
      </c>
      <c r="D159" s="33">
        <v>2</v>
      </c>
      <c r="E159" s="33">
        <v>2</v>
      </c>
      <c r="F159" s="56">
        <v>2</v>
      </c>
      <c r="G159" s="56"/>
      <c r="H159" s="64"/>
      <c r="I159" s="65"/>
    </row>
    <row r="160" spans="1:9" x14ac:dyDescent="0.2">
      <c r="A160" s="35"/>
      <c r="B160" s="55" t="s">
        <v>216</v>
      </c>
      <c r="C160" s="33" t="s">
        <v>85</v>
      </c>
      <c r="D160" s="33">
        <v>3.5000000000000003E-2</v>
      </c>
      <c r="E160" s="33">
        <v>3.5000000000000003E-2</v>
      </c>
      <c r="F160" s="56">
        <v>3.5000000000000003E-2</v>
      </c>
      <c r="G160" s="56"/>
      <c r="H160" s="64"/>
      <c r="I160" s="65"/>
    </row>
    <row r="161" spans="1:9" x14ac:dyDescent="0.2">
      <c r="A161" s="35"/>
      <c r="B161" s="55" t="s">
        <v>217</v>
      </c>
      <c r="C161" s="33" t="s">
        <v>85</v>
      </c>
      <c r="D161" s="33">
        <v>0.2</v>
      </c>
      <c r="E161" s="33">
        <v>0.2</v>
      </c>
      <c r="F161" s="56">
        <v>0.2</v>
      </c>
      <c r="G161" s="56"/>
      <c r="H161" s="64"/>
      <c r="I161" s="65"/>
    </row>
    <row r="162" spans="1:9" x14ac:dyDescent="0.2">
      <c r="A162" s="35"/>
      <c r="B162" s="55" t="s">
        <v>218</v>
      </c>
      <c r="C162" s="33" t="s">
        <v>85</v>
      </c>
      <c r="D162" s="33">
        <v>0.01</v>
      </c>
      <c r="E162" s="33">
        <v>0.01</v>
      </c>
      <c r="F162" s="56">
        <v>0.01</v>
      </c>
      <c r="G162" s="56"/>
      <c r="H162" s="64"/>
      <c r="I162" s="65"/>
    </row>
    <row r="163" spans="1:9" ht="31.5" x14ac:dyDescent="0.2">
      <c r="A163" s="21">
        <v>79</v>
      </c>
      <c r="B163" s="58" t="str">
        <f>[1]расчёт_ОЦТАр!B94</f>
        <v>Прочистка фильтров на подводке и санитарных приборов</v>
      </c>
      <c r="C163" s="33" t="s">
        <v>219</v>
      </c>
      <c r="D163" s="59">
        <f>[1]расчёт_ОЦТАр!R94</f>
        <v>10</v>
      </c>
      <c r="E163" s="59">
        <f>4080*1.005</f>
        <v>4100.3999999999996</v>
      </c>
      <c r="F163" s="60">
        <v>8.8959875705493712</v>
      </c>
      <c r="G163" s="25">
        <f>F163*1.2</f>
        <v>10.675185084659246</v>
      </c>
      <c r="H163" s="62" t="s">
        <v>220</v>
      </c>
      <c r="I163" s="66" t="s">
        <v>221</v>
      </c>
    </row>
    <row r="164" spans="1:9" ht="31.5" x14ac:dyDescent="0.2">
      <c r="A164" s="35">
        <v>80</v>
      </c>
      <c r="B164" s="58" t="str">
        <f>[1]расчёт_ОЦТАр!B95</f>
        <v>Улучшенная штукатурка стен по камню цементно-известковым раствором</v>
      </c>
      <c r="C164" s="33" t="s">
        <v>222</v>
      </c>
      <c r="D164" s="59"/>
      <c r="E164" s="59"/>
      <c r="F164" s="60">
        <v>14.272395740688793</v>
      </c>
      <c r="G164" s="25">
        <f>F164*1.2</f>
        <v>17.126874888826553</v>
      </c>
      <c r="H164" s="67" t="s">
        <v>223</v>
      </c>
      <c r="I164" s="68" t="s">
        <v>224</v>
      </c>
    </row>
    <row r="165" spans="1:9" x14ac:dyDescent="0.2">
      <c r="A165" s="35"/>
      <c r="B165" s="55" t="s">
        <v>225</v>
      </c>
      <c r="C165" s="33" t="s">
        <v>226</v>
      </c>
      <c r="D165" s="55"/>
      <c r="E165" s="55"/>
      <c r="F165" s="56">
        <v>2.1000000000000001E-2</v>
      </c>
      <c r="G165" s="56"/>
      <c r="H165" s="67"/>
      <c r="I165" s="68"/>
    </row>
    <row r="166" spans="1:9" x14ac:dyDescent="0.2">
      <c r="A166" s="35"/>
      <c r="B166" s="55" t="s">
        <v>227</v>
      </c>
      <c r="C166" s="33" t="s">
        <v>85</v>
      </c>
      <c r="D166" s="55"/>
      <c r="E166" s="55"/>
      <c r="F166" s="56">
        <v>5.01</v>
      </c>
      <c r="G166" s="56"/>
      <c r="H166" s="67"/>
      <c r="I166" s="68"/>
    </row>
    <row r="167" spans="1:9" ht="63" x14ac:dyDescent="0.2">
      <c r="A167" s="69">
        <v>81</v>
      </c>
      <c r="B167" s="58" t="str">
        <f>[1]расчёт_ОЦТАр!B96</f>
        <v>Подшивка деревянных потолков фанерой, древестностружечными или льнокостровыми плитами  без устройства каркаса</v>
      </c>
      <c r="C167" s="33" t="s">
        <v>222</v>
      </c>
      <c r="D167" s="70"/>
      <c r="E167" s="70"/>
      <c r="F167" s="60">
        <v>10.031645558279077</v>
      </c>
      <c r="G167" s="25">
        <f>F167*1.2</f>
        <v>12.037974669934892</v>
      </c>
      <c r="H167" s="67" t="s">
        <v>228</v>
      </c>
      <c r="I167" s="68" t="s">
        <v>229</v>
      </c>
    </row>
    <row r="168" spans="1:9" x14ac:dyDescent="0.25">
      <c r="A168" s="71"/>
      <c r="B168" s="72" t="s">
        <v>230</v>
      </c>
      <c r="C168" s="33" t="s">
        <v>231</v>
      </c>
      <c r="D168" s="70"/>
      <c r="E168" s="70"/>
      <c r="F168" s="56" t="s">
        <v>128</v>
      </c>
      <c r="G168" s="56"/>
      <c r="H168" s="67"/>
      <c r="I168" s="68"/>
    </row>
    <row r="169" spans="1:9" x14ac:dyDescent="0.25">
      <c r="A169" s="71"/>
      <c r="B169" s="72" t="s">
        <v>232</v>
      </c>
      <c r="C169" s="33" t="s">
        <v>85</v>
      </c>
      <c r="D169" s="70"/>
      <c r="E169" s="70"/>
      <c r="F169" s="56">
        <v>0.157</v>
      </c>
      <c r="G169" s="56"/>
      <c r="H169" s="67"/>
      <c r="I169" s="68"/>
    </row>
    <row r="170" spans="1:9" x14ac:dyDescent="0.25">
      <c r="A170" s="73"/>
      <c r="B170" s="72" t="s">
        <v>233</v>
      </c>
      <c r="C170" s="33" t="s">
        <v>49</v>
      </c>
      <c r="D170" s="70"/>
      <c r="E170" s="70"/>
      <c r="F170" s="56">
        <v>0.9</v>
      </c>
      <c r="G170" s="56"/>
      <c r="H170" s="67"/>
      <c r="I170" s="68"/>
    </row>
    <row r="171" spans="1:9" ht="37.5" customHeight="1" x14ac:dyDescent="0.25">
      <c r="A171" s="70">
        <v>82</v>
      </c>
      <c r="B171" s="58" t="str">
        <f>[1]расчёт_ОЦТАр!B97</f>
        <v>Отсоединение и снятие с места радиатора до 7 секций в группе</v>
      </c>
      <c r="C171" s="70" t="s">
        <v>234</v>
      </c>
      <c r="D171" s="74"/>
      <c r="E171" s="74"/>
      <c r="F171" s="60">
        <v>21.727494331281562</v>
      </c>
      <c r="G171" s="25">
        <f t="shared" ref="G171:G177" si="1">F171*1.2</f>
        <v>26.072993197537873</v>
      </c>
      <c r="H171" s="63" t="s">
        <v>235</v>
      </c>
      <c r="I171" s="66" t="s">
        <v>236</v>
      </c>
    </row>
    <row r="172" spans="1:9" ht="31.5" x14ac:dyDescent="0.2">
      <c r="A172" s="70">
        <v>83</v>
      </c>
      <c r="B172" s="58" t="str">
        <f>[1]расчёт_ОЦТАр!B98</f>
        <v>Отсоединение и снятие с места радиатора свыше 7 секций в группе</v>
      </c>
      <c r="C172" s="70" t="s">
        <v>234</v>
      </c>
      <c r="D172" s="70"/>
      <c r="E172" s="70"/>
      <c r="F172" s="60">
        <v>27.4843518036724</v>
      </c>
      <c r="G172" s="25">
        <f t="shared" si="1"/>
        <v>32.98122216440688</v>
      </c>
      <c r="H172" s="63" t="s">
        <v>235</v>
      </c>
      <c r="I172" s="66" t="s">
        <v>237</v>
      </c>
    </row>
    <row r="173" spans="1:9" ht="18.75" x14ac:dyDescent="0.25">
      <c r="A173" s="70">
        <v>84</v>
      </c>
      <c r="B173" s="75" t="str">
        <f>[1]расчёт_ОЦТАр!B99</f>
        <v>Слитие стояка горячей воды</v>
      </c>
      <c r="C173" s="74" t="s">
        <v>238</v>
      </c>
      <c r="D173" s="74"/>
      <c r="E173" s="74"/>
      <c r="F173" s="76">
        <v>11.142304785272595</v>
      </c>
      <c r="G173" s="25">
        <f t="shared" si="1"/>
        <v>13.370765742327114</v>
      </c>
      <c r="H173" s="77" t="s">
        <v>239</v>
      </c>
      <c r="I173" s="66" t="s">
        <v>240</v>
      </c>
    </row>
    <row r="174" spans="1:9" ht="63" x14ac:dyDescent="0.25">
      <c r="A174" s="70">
        <v>85</v>
      </c>
      <c r="B174" s="58" t="str">
        <f>[1]расчёт_ОЦТАр!B100</f>
        <v>Смена вентиля старого образца на вентиль другого образца, включая вентель импортного производства на стояке водоснабжения</v>
      </c>
      <c r="C174" s="70" t="s">
        <v>73</v>
      </c>
      <c r="D174" s="74"/>
      <c r="E174" s="74"/>
      <c r="F174" s="60">
        <v>16.656317153369034</v>
      </c>
      <c r="G174" s="25">
        <f t="shared" si="1"/>
        <v>19.987580584042842</v>
      </c>
      <c r="H174" s="62" t="s">
        <v>241</v>
      </c>
      <c r="I174" s="66" t="s">
        <v>242</v>
      </c>
    </row>
    <row r="175" spans="1:9" ht="31.5" x14ac:dyDescent="0.25">
      <c r="A175" s="70">
        <v>86</v>
      </c>
      <c r="B175" s="75" t="str">
        <f>[1]расчёт_ОЦТАр!B101</f>
        <v>Снятие смесителя настенного для умывольников, моек или раковин</v>
      </c>
      <c r="C175" s="70" t="s">
        <v>195</v>
      </c>
      <c r="D175" s="74"/>
      <c r="E175" s="74"/>
      <c r="F175" s="60">
        <v>6.2461189325133883</v>
      </c>
      <c r="G175" s="25">
        <f t="shared" si="1"/>
        <v>7.4953427190160653</v>
      </c>
      <c r="H175" s="63" t="s">
        <v>243</v>
      </c>
      <c r="I175" s="51" t="s">
        <v>244</v>
      </c>
    </row>
    <row r="176" spans="1:9" ht="18.75" x14ac:dyDescent="0.25">
      <c r="A176" s="70">
        <v>87</v>
      </c>
      <c r="B176" s="75" t="str">
        <f>[1]расчёт_ОЦТАр!B102</f>
        <v>Снятие полотенцесушителя</v>
      </c>
      <c r="C176" s="74" t="s">
        <v>35</v>
      </c>
      <c r="D176" s="74"/>
      <c r="E176" s="74"/>
      <c r="F176" s="76">
        <v>7.9496059141079476</v>
      </c>
      <c r="G176" s="25">
        <f t="shared" si="1"/>
        <v>9.539527096929536</v>
      </c>
      <c r="H176" s="77" t="s">
        <v>245</v>
      </c>
      <c r="I176" s="51" t="s">
        <v>246</v>
      </c>
    </row>
    <row r="177" spans="1:9" ht="25.5" customHeight="1" x14ac:dyDescent="0.25">
      <c r="A177" s="69">
        <v>88</v>
      </c>
      <c r="B177" s="58" t="str">
        <f>[1]расчёт_ОЦТАр!B103</f>
        <v>Установка полотенцесушителя</v>
      </c>
      <c r="C177" s="70" t="s">
        <v>35</v>
      </c>
      <c r="D177" s="74"/>
      <c r="E177" s="74"/>
      <c r="F177" s="60">
        <v>18.170527803675309</v>
      </c>
      <c r="G177" s="25">
        <f t="shared" si="1"/>
        <v>21.804633364410371</v>
      </c>
      <c r="H177" s="78" t="s">
        <v>247</v>
      </c>
      <c r="I177" s="79" t="s">
        <v>248</v>
      </c>
    </row>
    <row r="178" spans="1:9" x14ac:dyDescent="0.25">
      <c r="A178" s="71"/>
      <c r="B178" s="55" t="s">
        <v>249</v>
      </c>
      <c r="C178" s="80" t="s">
        <v>112</v>
      </c>
      <c r="D178" s="74"/>
      <c r="E178" s="74"/>
      <c r="F178" s="81">
        <v>1</v>
      </c>
      <c r="G178" s="81"/>
      <c r="H178" s="82"/>
      <c r="I178" s="83"/>
    </row>
    <row r="179" spans="1:9" x14ac:dyDescent="0.25">
      <c r="A179" s="71"/>
      <c r="B179" s="55" t="s">
        <v>218</v>
      </c>
      <c r="C179" s="80" t="s">
        <v>85</v>
      </c>
      <c r="D179" s="74"/>
      <c r="E179" s="74"/>
      <c r="F179" s="81">
        <v>2.5999999999999999E-2</v>
      </c>
      <c r="G179" s="81"/>
      <c r="H179" s="82"/>
      <c r="I179" s="83"/>
    </row>
    <row r="180" spans="1:9" x14ac:dyDescent="0.25">
      <c r="A180" s="71"/>
      <c r="B180" s="55" t="s">
        <v>250</v>
      </c>
      <c r="C180" s="80" t="s">
        <v>85</v>
      </c>
      <c r="D180" s="74"/>
      <c r="E180" s="74"/>
      <c r="F180" s="81">
        <v>0.04</v>
      </c>
      <c r="G180" s="81"/>
      <c r="H180" s="82"/>
      <c r="I180" s="83"/>
    </row>
    <row r="181" spans="1:9" x14ac:dyDescent="0.25">
      <c r="A181" s="73"/>
      <c r="B181" s="55" t="s">
        <v>251</v>
      </c>
      <c r="C181" s="80" t="s">
        <v>85</v>
      </c>
      <c r="D181" s="74"/>
      <c r="E181" s="74"/>
      <c r="F181" s="81">
        <v>0.05</v>
      </c>
      <c r="G181" s="81"/>
      <c r="H181" s="84"/>
      <c r="I181" s="85"/>
    </row>
    <row r="182" spans="1:9" ht="25.5" customHeight="1" x14ac:dyDescent="0.25">
      <c r="A182" s="69">
        <v>89</v>
      </c>
      <c r="B182" s="58" t="str">
        <f>[1]расчёт_ОЦТАр!B104</f>
        <v>Прокладка труб из полипропилена</v>
      </c>
      <c r="C182" s="70"/>
      <c r="D182" s="74"/>
      <c r="E182" s="74"/>
      <c r="F182" s="76"/>
      <c r="G182" s="76"/>
      <c r="H182" s="78" t="s">
        <v>252</v>
      </c>
      <c r="I182" s="86" t="s">
        <v>253</v>
      </c>
    </row>
    <row r="183" spans="1:9" x14ac:dyDescent="0.25">
      <c r="A183" s="71"/>
      <c r="B183" s="55" t="s">
        <v>254</v>
      </c>
      <c r="C183" s="80" t="s">
        <v>49</v>
      </c>
      <c r="D183" s="74"/>
      <c r="E183" s="74"/>
      <c r="F183" s="81">
        <v>1</v>
      </c>
      <c r="G183" s="81"/>
      <c r="H183" s="82"/>
      <c r="I183" s="87"/>
    </row>
    <row r="184" spans="1:9" x14ac:dyDescent="0.25">
      <c r="A184" s="71"/>
      <c r="B184" s="55" t="s">
        <v>255</v>
      </c>
      <c r="C184" s="80" t="s">
        <v>195</v>
      </c>
      <c r="D184" s="74"/>
      <c r="E184" s="74"/>
      <c r="F184" s="81" t="s">
        <v>128</v>
      </c>
      <c r="G184" s="81"/>
      <c r="H184" s="82"/>
      <c r="I184" s="87"/>
    </row>
    <row r="185" spans="1:9" x14ac:dyDescent="0.25">
      <c r="A185" s="71"/>
      <c r="B185" s="55" t="s">
        <v>256</v>
      </c>
      <c r="C185" s="80" t="s">
        <v>195</v>
      </c>
      <c r="D185" s="74"/>
      <c r="E185" s="74"/>
      <c r="F185" s="81" t="s">
        <v>128</v>
      </c>
      <c r="G185" s="81"/>
      <c r="H185" s="82"/>
      <c r="I185" s="87"/>
    </row>
    <row r="186" spans="1:9" x14ac:dyDescent="0.25">
      <c r="A186" s="71"/>
      <c r="B186" s="55" t="s">
        <v>257</v>
      </c>
      <c r="C186" s="80" t="s">
        <v>195</v>
      </c>
      <c r="D186" s="74"/>
      <c r="E186" s="74"/>
      <c r="F186" s="81" t="s">
        <v>128</v>
      </c>
      <c r="G186" s="81"/>
      <c r="H186" s="82"/>
      <c r="I186" s="88"/>
    </row>
    <row r="187" spans="1:9" ht="18.75" x14ac:dyDescent="0.25">
      <c r="A187" s="71"/>
      <c r="B187" s="75" t="str">
        <f>[1]расчёт_ОЦТАр!B105</f>
        <v>Диаметром трубопровода  15 мм</v>
      </c>
      <c r="C187" s="80" t="s">
        <v>49</v>
      </c>
      <c r="D187" s="74"/>
      <c r="E187" s="74"/>
      <c r="F187" s="76">
        <v>22.523883423305854</v>
      </c>
      <c r="G187" s="25">
        <f>F187*1.2</f>
        <v>27.028660107967024</v>
      </c>
      <c r="H187" s="82"/>
      <c r="I187" s="51" t="s">
        <v>258</v>
      </c>
    </row>
    <row r="188" spans="1:9" ht="18.75" x14ac:dyDescent="0.25">
      <c r="A188" s="71"/>
      <c r="B188" s="75" t="str">
        <f>[1]расчёт_ОЦТАр!B106</f>
        <v>20 мм</v>
      </c>
      <c r="C188" s="80" t="s">
        <v>49</v>
      </c>
      <c r="D188" s="74"/>
      <c r="E188" s="74"/>
      <c r="F188" s="76">
        <v>21.766778098152713</v>
      </c>
      <c r="G188" s="25">
        <f>F188*1.2</f>
        <v>26.120133717783254</v>
      </c>
      <c r="H188" s="82"/>
      <c r="I188" s="51" t="s">
        <v>259</v>
      </c>
    </row>
    <row r="189" spans="1:9" ht="18.75" x14ac:dyDescent="0.25">
      <c r="A189" s="71"/>
      <c r="B189" s="75" t="str">
        <f>[1]расчёт_ОЦТАр!B107</f>
        <v>25мм</v>
      </c>
      <c r="C189" s="80" t="str">
        <f>[1]Р_ЗПЛ_Т!C102</f>
        <v>м</v>
      </c>
      <c r="D189" s="74"/>
      <c r="E189" s="74"/>
      <c r="F189" s="76">
        <v>17.224146147233892</v>
      </c>
      <c r="G189" s="25">
        <f>F189*1.2</f>
        <v>20.66897537668067</v>
      </c>
      <c r="H189" s="82"/>
      <c r="I189" s="51" t="s">
        <v>260</v>
      </c>
    </row>
    <row r="190" spans="1:9" ht="18.75" x14ac:dyDescent="0.25">
      <c r="A190" s="71"/>
      <c r="B190" s="75" t="str">
        <f>[1]расчёт_ОЦТАр!B108</f>
        <v>32мм</v>
      </c>
      <c r="C190" s="80" t="str">
        <f>[1]Р_ЗПЛ_Т!C103</f>
        <v>м</v>
      </c>
      <c r="D190" s="74"/>
      <c r="E190" s="74"/>
      <c r="F190" s="76">
        <v>13.817172184044765</v>
      </c>
      <c r="G190" s="25">
        <f>F190*1.2</f>
        <v>16.580606620853718</v>
      </c>
      <c r="H190" s="82"/>
      <c r="I190" s="51" t="s">
        <v>261</v>
      </c>
    </row>
    <row r="191" spans="1:9" ht="18.75" x14ac:dyDescent="0.25">
      <c r="A191" s="73"/>
      <c r="B191" s="75" t="str">
        <f>[1]расчёт_ОЦТАр!B109</f>
        <v>50мм</v>
      </c>
      <c r="C191" s="80" t="str">
        <f>[1]Р_ЗПЛ_Т!C104</f>
        <v>м</v>
      </c>
      <c r="D191" s="74"/>
      <c r="E191" s="74"/>
      <c r="F191" s="76">
        <v>16.656317153369034</v>
      </c>
      <c r="G191" s="25">
        <f>F191*1.2</f>
        <v>19.987580584042842</v>
      </c>
      <c r="H191" s="84"/>
      <c r="I191" s="51" t="s">
        <v>262</v>
      </c>
    </row>
    <row r="192" spans="1:9" ht="31.5" x14ac:dyDescent="0.25">
      <c r="A192" s="69">
        <v>90</v>
      </c>
      <c r="B192" s="75" t="str">
        <f>[1]расчёт_ОЦТАр!B110</f>
        <v>Прокладка наружного трубопровода из полизтиленовых труб</v>
      </c>
      <c r="C192" s="33"/>
      <c r="D192" s="74"/>
      <c r="E192" s="74"/>
      <c r="F192" s="76"/>
      <c r="G192" s="76"/>
      <c r="H192" s="78" t="s">
        <v>263</v>
      </c>
      <c r="I192" s="51" t="s">
        <v>264</v>
      </c>
    </row>
    <row r="193" spans="1:9" ht="18.75" x14ac:dyDescent="0.25">
      <c r="A193" s="71"/>
      <c r="B193" s="75" t="str">
        <f>[1]расчёт_ОЦТАр!B111</f>
        <v>Диаметром трубопровода  20 мм</v>
      </c>
      <c r="C193" s="33" t="str">
        <f>[1]Р_ЗПЛ_Т!C106</f>
        <v>м</v>
      </c>
      <c r="D193" s="74"/>
      <c r="E193" s="74"/>
      <c r="F193" s="76">
        <v>34.069739631891203</v>
      </c>
      <c r="G193" s="25">
        <f>F193*1.2</f>
        <v>40.883687558269443</v>
      </c>
      <c r="H193" s="82"/>
      <c r="I193" s="79" t="s">
        <v>265</v>
      </c>
    </row>
    <row r="194" spans="1:9" x14ac:dyDescent="0.25">
      <c r="A194" s="71"/>
      <c r="B194" s="72" t="s">
        <v>254</v>
      </c>
      <c r="C194" s="33" t="s">
        <v>49</v>
      </c>
      <c r="D194" s="74"/>
      <c r="E194" s="74"/>
      <c r="F194" s="81">
        <v>0.89900000000000002</v>
      </c>
      <c r="G194" s="81"/>
      <c r="H194" s="82"/>
      <c r="I194" s="83"/>
    </row>
    <row r="195" spans="1:9" x14ac:dyDescent="0.25">
      <c r="A195" s="71"/>
      <c r="B195" s="72" t="s">
        <v>266</v>
      </c>
      <c r="C195" s="33" t="s">
        <v>85</v>
      </c>
      <c r="D195" s="74"/>
      <c r="E195" s="74"/>
      <c r="F195" s="81" t="s">
        <v>128</v>
      </c>
      <c r="G195" s="81"/>
      <c r="H195" s="82"/>
      <c r="I195" s="85"/>
    </row>
    <row r="196" spans="1:9" ht="18.75" x14ac:dyDescent="0.25">
      <c r="A196" s="71"/>
      <c r="B196" s="75" t="str">
        <f>[1]расчёт_ОЦТАр!B112</f>
        <v>25 мм</v>
      </c>
      <c r="C196" s="33"/>
      <c r="D196" s="74"/>
      <c r="E196" s="74"/>
      <c r="F196" s="76">
        <v>27.066515374224679</v>
      </c>
      <c r="G196" s="25">
        <f>F196*1.2</f>
        <v>32.479818449069612</v>
      </c>
      <c r="H196" s="82"/>
      <c r="I196" s="79" t="s">
        <v>267</v>
      </c>
    </row>
    <row r="197" spans="1:9" x14ac:dyDescent="0.25">
      <c r="A197" s="71"/>
      <c r="B197" s="72" t="s">
        <v>254</v>
      </c>
      <c r="C197" s="33" t="s">
        <v>49</v>
      </c>
      <c r="D197" s="74"/>
      <c r="E197" s="74"/>
      <c r="F197" s="81">
        <v>0.92900000000000005</v>
      </c>
      <c r="G197" s="81"/>
      <c r="H197" s="82"/>
      <c r="I197" s="83"/>
    </row>
    <row r="198" spans="1:9" x14ac:dyDescent="0.25">
      <c r="A198" s="71"/>
      <c r="B198" s="72" t="s">
        <v>266</v>
      </c>
      <c r="C198" s="33" t="s">
        <v>85</v>
      </c>
      <c r="D198" s="74"/>
      <c r="E198" s="74"/>
      <c r="F198" s="81" t="s">
        <v>128</v>
      </c>
      <c r="G198" s="81"/>
      <c r="H198" s="82"/>
      <c r="I198" s="85"/>
    </row>
    <row r="199" spans="1:9" ht="18.75" x14ac:dyDescent="0.25">
      <c r="A199" s="71"/>
      <c r="B199" s="75" t="str">
        <f>[1]расчёт_ОЦТАр!B113</f>
        <v>32мм</v>
      </c>
      <c r="C199" s="33" t="str">
        <f>[1]Р_ЗПЛ_Т!C108</f>
        <v>м</v>
      </c>
      <c r="D199" s="74"/>
      <c r="E199" s="74"/>
      <c r="F199" s="76">
        <v>20.063291116558155</v>
      </c>
      <c r="G199" s="25">
        <f>F199*1.2</f>
        <v>24.075949339869783</v>
      </c>
      <c r="H199" s="82"/>
      <c r="I199" s="79" t="s">
        <v>268</v>
      </c>
    </row>
    <row r="200" spans="1:9" x14ac:dyDescent="0.25">
      <c r="A200" s="71"/>
      <c r="B200" s="72" t="s">
        <v>254</v>
      </c>
      <c r="C200" s="33" t="s">
        <v>49</v>
      </c>
      <c r="D200" s="74"/>
      <c r="E200" s="74"/>
      <c r="F200" s="81">
        <v>0.93799999999999994</v>
      </c>
      <c r="G200" s="81"/>
      <c r="H200" s="82"/>
      <c r="I200" s="83"/>
    </row>
    <row r="201" spans="1:9" x14ac:dyDescent="0.25">
      <c r="A201" s="71"/>
      <c r="B201" s="72" t="s">
        <v>266</v>
      </c>
      <c r="C201" s="33" t="s">
        <v>85</v>
      </c>
      <c r="D201" s="74"/>
      <c r="E201" s="74"/>
      <c r="F201" s="81" t="s">
        <v>128</v>
      </c>
      <c r="G201" s="81"/>
      <c r="H201" s="82"/>
      <c r="I201" s="85"/>
    </row>
    <row r="202" spans="1:9" ht="18.75" x14ac:dyDescent="0.25">
      <c r="A202" s="71"/>
      <c r="B202" s="75" t="str">
        <f>[1]расчёт_ОЦТАр!B114</f>
        <v>40 мм</v>
      </c>
      <c r="C202" s="33" t="str">
        <f>[1]Р_ЗПЛ_Т!C109</f>
        <v>м</v>
      </c>
      <c r="D202" s="74"/>
      <c r="E202" s="74"/>
      <c r="F202" s="76">
        <v>21.388225435576143</v>
      </c>
      <c r="G202" s="25">
        <f>F202*1.2</f>
        <v>25.665870522691371</v>
      </c>
      <c r="H202" s="82"/>
      <c r="I202" s="79" t="s">
        <v>269</v>
      </c>
    </row>
    <row r="203" spans="1:9" x14ac:dyDescent="0.25">
      <c r="A203" s="71"/>
      <c r="B203" s="72" t="s">
        <v>254</v>
      </c>
      <c r="C203" s="33" t="s">
        <v>49</v>
      </c>
      <c r="D203" s="74"/>
      <c r="E203" s="74"/>
      <c r="F203" s="81">
        <v>0.93700000000000006</v>
      </c>
      <c r="G203" s="81"/>
      <c r="H203" s="82"/>
      <c r="I203" s="83"/>
    </row>
    <row r="204" spans="1:9" x14ac:dyDescent="0.25">
      <c r="A204" s="73"/>
      <c r="B204" s="72" t="s">
        <v>266</v>
      </c>
      <c r="C204" s="33" t="s">
        <v>85</v>
      </c>
      <c r="D204" s="74"/>
      <c r="E204" s="74"/>
      <c r="F204" s="81" t="s">
        <v>128</v>
      </c>
      <c r="G204" s="81"/>
      <c r="H204" s="84"/>
      <c r="I204" s="85"/>
    </row>
    <row r="205" spans="1:9" ht="63.75" customHeight="1" x14ac:dyDescent="0.25">
      <c r="A205" s="89">
        <v>91</v>
      </c>
      <c r="B205" s="58" t="str">
        <f>[1]расчёт_ОЦТАр!B115</f>
        <v>Установка после проверки индивидуального счетчика воды</v>
      </c>
      <c r="C205" s="70" t="str">
        <f>[1]Р_ЗПЛ_Т!C112</f>
        <v>счетчик</v>
      </c>
      <c r="D205" s="74"/>
      <c r="E205" s="74"/>
      <c r="F205" s="60">
        <v>6.0568426012251022</v>
      </c>
      <c r="G205" s="25">
        <f>F205*1.2</f>
        <v>7.2682111214701219</v>
      </c>
      <c r="H205" s="78" t="s">
        <v>270</v>
      </c>
      <c r="I205" s="79" t="s">
        <v>271</v>
      </c>
    </row>
    <row r="206" spans="1:9" x14ac:dyDescent="0.25">
      <c r="A206" s="89"/>
      <c r="B206" s="55" t="s">
        <v>272</v>
      </c>
      <c r="C206" s="33" t="s">
        <v>195</v>
      </c>
      <c r="D206" s="74"/>
      <c r="E206" s="74"/>
      <c r="F206" s="56">
        <v>2</v>
      </c>
      <c r="G206" s="56"/>
      <c r="H206" s="82"/>
      <c r="I206" s="83"/>
    </row>
    <row r="207" spans="1:9" x14ac:dyDescent="0.25">
      <c r="A207" s="89"/>
      <c r="B207" s="55" t="s">
        <v>273</v>
      </c>
      <c r="C207" s="33" t="s">
        <v>195</v>
      </c>
      <c r="D207" s="74"/>
      <c r="E207" s="74"/>
      <c r="F207" s="56">
        <v>1</v>
      </c>
      <c r="G207" s="56"/>
      <c r="H207" s="82"/>
      <c r="I207" s="83"/>
    </row>
    <row r="208" spans="1:9" x14ac:dyDescent="0.25">
      <c r="A208" s="89"/>
      <c r="B208" s="55" t="s">
        <v>274</v>
      </c>
      <c r="C208" s="33" t="s">
        <v>85</v>
      </c>
      <c r="D208" s="74"/>
      <c r="E208" s="74"/>
      <c r="F208" s="56">
        <v>0.02</v>
      </c>
      <c r="G208" s="56"/>
      <c r="H208" s="82"/>
      <c r="I208" s="85"/>
    </row>
    <row r="209" spans="1:9" ht="18.75" x14ac:dyDescent="0.25">
      <c r="A209" s="89"/>
      <c r="B209" s="75" t="str">
        <f>[1]расчёт_ОЦТАр!B116</f>
        <v>с заменой штуцера и фильтра</v>
      </c>
      <c r="C209" s="70" t="str">
        <f>[1]Р_ЗПЛ_Т!C113</f>
        <v>счетчик</v>
      </c>
      <c r="D209" s="74"/>
      <c r="E209" s="74"/>
      <c r="F209" s="76">
        <v>9.0852639018376546</v>
      </c>
      <c r="G209" s="25">
        <f>F209*1.2</f>
        <v>10.902316682205186</v>
      </c>
      <c r="H209" s="82"/>
      <c r="I209" s="79" t="s">
        <v>275</v>
      </c>
    </row>
    <row r="210" spans="1:9" x14ac:dyDescent="0.25">
      <c r="A210" s="89"/>
      <c r="B210" s="72" t="s">
        <v>276</v>
      </c>
      <c r="C210" s="33" t="s">
        <v>195</v>
      </c>
      <c r="D210" s="74"/>
      <c r="E210" s="74"/>
      <c r="F210" s="81">
        <v>1</v>
      </c>
      <c r="G210" s="81"/>
      <c r="H210" s="82"/>
      <c r="I210" s="83"/>
    </row>
    <row r="211" spans="1:9" x14ac:dyDescent="0.25">
      <c r="A211" s="89"/>
      <c r="B211" s="72" t="s">
        <v>219</v>
      </c>
      <c r="C211" s="33" t="s">
        <v>195</v>
      </c>
      <c r="D211" s="74"/>
      <c r="E211" s="74"/>
      <c r="F211" s="81">
        <v>1</v>
      </c>
      <c r="G211" s="81"/>
      <c r="H211" s="82"/>
      <c r="I211" s="83"/>
    </row>
    <row r="212" spans="1:9" x14ac:dyDescent="0.25">
      <c r="A212" s="89"/>
      <c r="B212" s="72" t="s">
        <v>277</v>
      </c>
      <c r="C212" s="33" t="s">
        <v>195</v>
      </c>
      <c r="D212" s="74"/>
      <c r="E212" s="74"/>
      <c r="F212" s="81">
        <v>2</v>
      </c>
      <c r="G212" s="81"/>
      <c r="H212" s="82"/>
      <c r="I212" s="83"/>
    </row>
    <row r="213" spans="1:9" x14ac:dyDescent="0.25">
      <c r="A213" s="89"/>
      <c r="B213" s="55" t="s">
        <v>273</v>
      </c>
      <c r="C213" s="33" t="s">
        <v>195</v>
      </c>
      <c r="D213" s="74"/>
      <c r="E213" s="74"/>
      <c r="F213" s="81">
        <v>1</v>
      </c>
      <c r="G213" s="81"/>
      <c r="H213" s="82"/>
      <c r="I213" s="83"/>
    </row>
    <row r="214" spans="1:9" x14ac:dyDescent="0.25">
      <c r="A214" s="89"/>
      <c r="B214" s="55" t="s">
        <v>274</v>
      </c>
      <c r="C214" s="33" t="s">
        <v>85</v>
      </c>
      <c r="D214" s="74"/>
      <c r="E214" s="74"/>
      <c r="F214" s="81">
        <v>2E-3</v>
      </c>
      <c r="G214" s="81"/>
      <c r="H214" s="82"/>
      <c r="I214" s="85"/>
    </row>
    <row r="215" spans="1:9" ht="31.5" x14ac:dyDescent="0.25">
      <c r="A215" s="89"/>
      <c r="B215" s="75" t="str">
        <f>[1]расчёт_ОЦТАр!B117</f>
        <v>с заменой штуцера и запорно-регулирующей арматуры</v>
      </c>
      <c r="C215" s="70" t="str">
        <f>[1]Р_ЗПЛ_Т!C114</f>
        <v>счетчик</v>
      </c>
      <c r="D215" s="74"/>
      <c r="E215" s="74"/>
      <c r="F215" s="60">
        <v>9.8423692269907921</v>
      </c>
      <c r="G215" s="25">
        <f>F215*1.2</f>
        <v>11.81084307238895</v>
      </c>
      <c r="H215" s="82"/>
      <c r="I215" s="79" t="s">
        <v>278</v>
      </c>
    </row>
    <row r="216" spans="1:9" x14ac:dyDescent="0.25">
      <c r="A216" s="89"/>
      <c r="B216" s="72" t="s">
        <v>276</v>
      </c>
      <c r="C216" s="33" t="s">
        <v>195</v>
      </c>
      <c r="D216" s="74"/>
      <c r="E216" s="74"/>
      <c r="F216" s="81">
        <v>1</v>
      </c>
      <c r="G216" s="81"/>
      <c r="H216" s="82"/>
      <c r="I216" s="83"/>
    </row>
    <row r="217" spans="1:9" x14ac:dyDescent="0.25">
      <c r="A217" s="89"/>
      <c r="B217" s="72" t="s">
        <v>279</v>
      </c>
      <c r="C217" s="33" t="s">
        <v>195</v>
      </c>
      <c r="D217" s="74"/>
      <c r="E217" s="74"/>
      <c r="F217" s="81">
        <v>1</v>
      </c>
      <c r="G217" s="81"/>
      <c r="H217" s="82"/>
      <c r="I217" s="83"/>
    </row>
    <row r="218" spans="1:9" x14ac:dyDescent="0.25">
      <c r="A218" s="89"/>
      <c r="B218" s="55" t="s">
        <v>272</v>
      </c>
      <c r="C218" s="33" t="s">
        <v>195</v>
      </c>
      <c r="D218" s="74"/>
      <c r="E218" s="74"/>
      <c r="F218" s="56">
        <v>2</v>
      </c>
      <c r="G218" s="56"/>
      <c r="H218" s="82"/>
      <c r="I218" s="83"/>
    </row>
    <row r="219" spans="1:9" x14ac:dyDescent="0.25">
      <c r="A219" s="89"/>
      <c r="B219" s="55" t="s">
        <v>273</v>
      </c>
      <c r="C219" s="33" t="s">
        <v>195</v>
      </c>
      <c r="D219" s="74"/>
      <c r="E219" s="74"/>
      <c r="F219" s="81">
        <v>1</v>
      </c>
      <c r="G219" s="81"/>
      <c r="H219" s="82"/>
      <c r="I219" s="83"/>
    </row>
    <row r="220" spans="1:9" x14ac:dyDescent="0.25">
      <c r="A220" s="89"/>
      <c r="B220" s="55" t="s">
        <v>274</v>
      </c>
      <c r="C220" s="33" t="s">
        <v>85</v>
      </c>
      <c r="D220" s="74"/>
      <c r="E220" s="74"/>
      <c r="F220" s="81">
        <v>2E-3</v>
      </c>
      <c r="G220" s="81"/>
      <c r="H220" s="82"/>
      <c r="I220" s="85"/>
    </row>
    <row r="221" spans="1:9" ht="31.5" x14ac:dyDescent="0.25">
      <c r="A221" s="89"/>
      <c r="B221" s="75" t="str">
        <f>[1]расчёт_ОЦТАр!B118</f>
        <v>с заменой запорно-регулирующей арматуры</v>
      </c>
      <c r="C221" s="70" t="str">
        <f>[1]Р_ЗПЛ_Т!C115</f>
        <v>счетчик</v>
      </c>
      <c r="D221" s="74"/>
      <c r="E221" s="74"/>
      <c r="F221" s="60">
        <v>7.5710532515313806</v>
      </c>
      <c r="G221" s="25">
        <f>F221*1.2</f>
        <v>9.0852639018376564</v>
      </c>
      <c r="H221" s="82"/>
      <c r="I221" s="79" t="s">
        <v>280</v>
      </c>
    </row>
    <row r="222" spans="1:9" x14ac:dyDescent="0.25">
      <c r="A222" s="89"/>
      <c r="B222" s="72" t="s">
        <v>279</v>
      </c>
      <c r="C222" s="33" t="s">
        <v>195</v>
      </c>
      <c r="D222" s="74"/>
      <c r="E222" s="74"/>
      <c r="F222" s="81">
        <v>1</v>
      </c>
      <c r="G222" s="81"/>
      <c r="H222" s="82"/>
      <c r="I222" s="83"/>
    </row>
    <row r="223" spans="1:9" x14ac:dyDescent="0.25">
      <c r="A223" s="89"/>
      <c r="B223" s="55" t="s">
        <v>272</v>
      </c>
      <c r="C223" s="33" t="s">
        <v>195</v>
      </c>
      <c r="D223" s="74"/>
      <c r="E223" s="74"/>
      <c r="F223" s="56">
        <v>2</v>
      </c>
      <c r="G223" s="56"/>
      <c r="H223" s="82"/>
      <c r="I223" s="83"/>
    </row>
    <row r="224" spans="1:9" x14ac:dyDescent="0.25">
      <c r="A224" s="89"/>
      <c r="B224" s="55" t="s">
        <v>273</v>
      </c>
      <c r="C224" s="33" t="s">
        <v>195</v>
      </c>
      <c r="D224" s="74"/>
      <c r="E224" s="74"/>
      <c r="F224" s="81">
        <v>1</v>
      </c>
      <c r="G224" s="81"/>
      <c r="H224" s="82"/>
      <c r="I224" s="83"/>
    </row>
    <row r="225" spans="1:9" x14ac:dyDescent="0.25">
      <c r="A225" s="89"/>
      <c r="B225" s="55" t="s">
        <v>274</v>
      </c>
      <c r="C225" s="33" t="s">
        <v>85</v>
      </c>
      <c r="D225" s="74"/>
      <c r="E225" s="74"/>
      <c r="F225" s="81">
        <v>2E-3</v>
      </c>
      <c r="G225" s="81"/>
      <c r="H225" s="84"/>
      <c r="I225" s="85"/>
    </row>
    <row r="226" spans="1:9" ht="31.5" x14ac:dyDescent="0.25">
      <c r="A226" s="89">
        <v>92</v>
      </c>
      <c r="B226" s="75" t="str">
        <f>[1]Р_ЗПЛ_Т!B116</f>
        <v>Скашивание травы с газонов ручной газонокосилкой</v>
      </c>
      <c r="C226" s="44" t="s">
        <v>281</v>
      </c>
      <c r="D226" s="74"/>
      <c r="E226" s="74"/>
      <c r="F226" s="76"/>
      <c r="G226" s="76"/>
      <c r="H226" s="78" t="s">
        <v>282</v>
      </c>
      <c r="I226" s="62"/>
    </row>
    <row r="227" spans="1:9" x14ac:dyDescent="0.25">
      <c r="A227" s="89"/>
      <c r="B227" s="75" t="str">
        <f>[1]Р_ЗПЛ_Т!B117</f>
        <v>При высоте травостоя до 15см</v>
      </c>
      <c r="C227" s="44"/>
      <c r="D227" s="74"/>
      <c r="E227" s="74"/>
      <c r="F227" s="76"/>
      <c r="G227" s="76"/>
      <c r="H227" s="82"/>
      <c r="I227" s="62"/>
    </row>
    <row r="228" spans="1:9" ht="18.75" x14ac:dyDescent="0.25">
      <c r="A228" s="89"/>
      <c r="B228" s="72" t="str">
        <f>[1]Р_ЗПЛ_Т!B118</f>
        <v xml:space="preserve">  - сплошных</v>
      </c>
      <c r="C228" s="44"/>
      <c r="D228" s="74"/>
      <c r="E228" s="74"/>
      <c r="F228" s="76">
        <v>5.1104609447836813</v>
      </c>
      <c r="G228" s="25">
        <f>F228*1.2</f>
        <v>6.1325531337404176</v>
      </c>
      <c r="H228" s="82"/>
      <c r="I228" s="90" t="s">
        <v>283</v>
      </c>
    </row>
    <row r="229" spans="1:9" ht="18.75" x14ac:dyDescent="0.25">
      <c r="A229" s="89"/>
      <c r="B229" s="72" t="str">
        <f>[1]Р_ЗПЛ_Т!B119</f>
        <v xml:space="preserve">  - комбинированных</v>
      </c>
      <c r="C229" s="44"/>
      <c r="D229" s="74"/>
      <c r="E229" s="74"/>
      <c r="F229" s="76">
        <v>5.6782899386485326</v>
      </c>
      <c r="G229" s="25">
        <f>F229*1.2</f>
        <v>6.8139479263782388</v>
      </c>
      <c r="H229" s="82"/>
      <c r="I229" s="90" t="s">
        <v>284</v>
      </c>
    </row>
    <row r="230" spans="1:9" ht="18.75" x14ac:dyDescent="0.25">
      <c r="A230" s="89"/>
      <c r="B230" s="72" t="str">
        <f>[1]Р_ЗПЛ_Т!B120</f>
        <v xml:space="preserve"> - склоны и канавы</v>
      </c>
      <c r="C230" s="44"/>
      <c r="D230" s="74"/>
      <c r="E230" s="74"/>
      <c r="F230" s="76">
        <v>7.5710532515313806</v>
      </c>
      <c r="G230" s="25">
        <f>F230*1.2</f>
        <v>9.0852639018376564</v>
      </c>
      <c r="H230" s="82"/>
      <c r="I230" s="90" t="s">
        <v>285</v>
      </c>
    </row>
    <row r="231" spans="1:9" ht="31.5" x14ac:dyDescent="0.25">
      <c r="A231" s="89"/>
      <c r="B231" s="58" t="str">
        <f>[1]Р_ЗПЛ_Т!B121</f>
        <v>При высоте травостоя свыше 15см до 20 см</v>
      </c>
      <c r="C231" s="44"/>
      <c r="D231" s="74"/>
      <c r="E231" s="74"/>
      <c r="F231" s="76"/>
      <c r="G231" s="76"/>
      <c r="H231" s="82"/>
      <c r="I231" s="62"/>
    </row>
    <row r="232" spans="1:9" ht="18.75" x14ac:dyDescent="0.25">
      <c r="A232" s="89"/>
      <c r="B232" s="72" t="str">
        <f>[1]Р_ЗПЛ_Т!B122</f>
        <v xml:space="preserve">  - сплошных</v>
      </c>
      <c r="C232" s="44"/>
      <c r="D232" s="74"/>
      <c r="E232" s="74"/>
      <c r="F232" s="76">
        <v>6.6246715950899571</v>
      </c>
      <c r="G232" s="25">
        <f>F232*1.2</f>
        <v>7.9496059141079485</v>
      </c>
      <c r="H232" s="82"/>
      <c r="I232" s="90" t="s">
        <v>286</v>
      </c>
    </row>
    <row r="233" spans="1:9" ht="18.75" x14ac:dyDescent="0.25">
      <c r="A233" s="89"/>
      <c r="B233" s="72" t="str">
        <f>[1]Р_ЗПЛ_Т!B123</f>
        <v xml:space="preserve">  - комбинированных</v>
      </c>
      <c r="C233" s="44"/>
      <c r="D233" s="74"/>
      <c r="E233" s="74"/>
      <c r="F233" s="76">
        <v>7.3817769202430945</v>
      </c>
      <c r="G233" s="25">
        <f>F233*1.2</f>
        <v>8.8581323042917131</v>
      </c>
      <c r="H233" s="82"/>
      <c r="I233" s="90" t="s">
        <v>287</v>
      </c>
    </row>
    <row r="234" spans="1:9" ht="18.75" x14ac:dyDescent="0.25">
      <c r="A234" s="89"/>
      <c r="B234" s="72" t="str">
        <f>[1]Р_ЗПЛ_Т!B124</f>
        <v xml:space="preserve"> - склоны и канавы</v>
      </c>
      <c r="C234" s="44"/>
      <c r="D234" s="74"/>
      <c r="E234" s="74"/>
      <c r="F234" s="76">
        <v>9.8423692269907921</v>
      </c>
      <c r="G234" s="25">
        <f>F234*1.2</f>
        <v>11.81084307238895</v>
      </c>
      <c r="H234" s="82"/>
      <c r="I234" s="90" t="s">
        <v>288</v>
      </c>
    </row>
    <row r="235" spans="1:9" x14ac:dyDescent="0.25">
      <c r="A235" s="89"/>
      <c r="B235" s="75" t="str">
        <f>[1]Р_ЗПЛ_Т!B125</f>
        <v>При высоте травостоя свыше 20 см</v>
      </c>
      <c r="C235" s="44"/>
      <c r="D235" s="74"/>
      <c r="E235" s="74"/>
      <c r="F235" s="76"/>
      <c r="G235" s="76"/>
      <c r="H235" s="82"/>
      <c r="I235" s="62"/>
    </row>
    <row r="236" spans="1:9" ht="18.75" x14ac:dyDescent="0.25">
      <c r="A236" s="89"/>
      <c r="B236" s="72" t="str">
        <f>[1]Р_ЗПЛ_Т!B126</f>
        <v xml:space="preserve">  - сплошных</v>
      </c>
      <c r="C236" s="44"/>
      <c r="D236" s="74"/>
      <c r="E236" s="74"/>
      <c r="F236" s="76">
        <v>8.7067112392610841</v>
      </c>
      <c r="G236" s="25">
        <f t="shared" ref="G236:G241" si="2">F236*1.2</f>
        <v>10.448053487113301</v>
      </c>
      <c r="H236" s="82"/>
      <c r="I236" s="90" t="s">
        <v>289</v>
      </c>
    </row>
    <row r="237" spans="1:9" ht="18.75" x14ac:dyDescent="0.25">
      <c r="A237" s="89"/>
      <c r="B237" s="72" t="str">
        <f>[1]Р_ЗПЛ_Т!B127</f>
        <v xml:space="preserve">  - комбинированных</v>
      </c>
      <c r="C237" s="44"/>
      <c r="D237" s="74"/>
      <c r="E237" s="74"/>
      <c r="F237" s="76">
        <v>9.6530928957025068</v>
      </c>
      <c r="G237" s="25">
        <f t="shared" si="2"/>
        <v>11.583711474843009</v>
      </c>
      <c r="H237" s="82"/>
      <c r="I237" s="90" t="s">
        <v>290</v>
      </c>
    </row>
    <row r="238" spans="1:9" ht="18.75" x14ac:dyDescent="0.25">
      <c r="A238" s="89"/>
      <c r="B238" s="72" t="str">
        <f>[1]Р_ЗПЛ_Т!B128</f>
        <v xml:space="preserve"> - склоны и канавы</v>
      </c>
      <c r="C238" s="44"/>
      <c r="D238" s="74"/>
      <c r="E238" s="74"/>
      <c r="F238" s="76">
        <v>12.870790527603345</v>
      </c>
      <c r="G238" s="25">
        <f t="shared" si="2"/>
        <v>15.444948633124014</v>
      </c>
      <c r="H238" s="84"/>
      <c r="I238" s="90" t="s">
        <v>291</v>
      </c>
    </row>
    <row r="239" spans="1:9" ht="25.5" x14ac:dyDescent="0.2">
      <c r="A239" s="70">
        <v>93</v>
      </c>
      <c r="B239" s="58" t="str">
        <f>[1]Р_ЗПЛ_Т!B129</f>
        <v>Смена гофры</v>
      </c>
      <c r="C239" s="33" t="s">
        <v>195</v>
      </c>
      <c r="D239" s="70"/>
      <c r="E239" s="70"/>
      <c r="F239" s="60">
        <v>2.460592306747698</v>
      </c>
      <c r="G239" s="25">
        <f t="shared" si="2"/>
        <v>2.9527107680972375</v>
      </c>
      <c r="H239" s="62" t="s">
        <v>292</v>
      </c>
      <c r="I239" s="90" t="s">
        <v>293</v>
      </c>
    </row>
    <row r="240" spans="1:9" ht="31.5" x14ac:dyDescent="0.2">
      <c r="A240" s="70">
        <v>94</v>
      </c>
      <c r="B240" s="58" t="str">
        <f>[1]Р_ЗПЛ_Т!B130</f>
        <v>Смена шланга душа смесителя для ванной</v>
      </c>
      <c r="C240" s="33" t="s">
        <v>195</v>
      </c>
      <c r="D240" s="70"/>
      <c r="E240" s="70"/>
      <c r="F240" s="60">
        <v>1.4856406380363461</v>
      </c>
      <c r="G240" s="25">
        <f t="shared" si="2"/>
        <v>1.7827687656436153</v>
      </c>
      <c r="H240" s="62"/>
      <c r="I240" s="90" t="s">
        <v>294</v>
      </c>
    </row>
    <row r="241" spans="1:9" ht="46.5" customHeight="1" x14ac:dyDescent="0.2">
      <c r="A241" s="89">
        <v>95</v>
      </c>
      <c r="B241" s="91" t="str">
        <f>[1]Р_ЗПЛ_Т!B131</f>
        <v>Переустановка смывного бочка при установке индивидуальных приборов учета</v>
      </c>
      <c r="C241" s="33" t="s">
        <v>295</v>
      </c>
      <c r="D241" s="70"/>
      <c r="E241" s="70"/>
      <c r="F241" s="60">
        <v>17.413422478522168</v>
      </c>
      <c r="G241" s="25">
        <f t="shared" si="2"/>
        <v>20.896106974226601</v>
      </c>
      <c r="H241" s="78" t="s">
        <v>296</v>
      </c>
      <c r="I241" s="92" t="s">
        <v>297</v>
      </c>
    </row>
    <row r="242" spans="1:9" x14ac:dyDescent="0.25">
      <c r="A242" s="89"/>
      <c r="B242" s="72" t="s">
        <v>298</v>
      </c>
      <c r="C242" s="80" t="s">
        <v>195</v>
      </c>
      <c r="D242" s="74"/>
      <c r="E242" s="74"/>
      <c r="F242" s="81">
        <v>2</v>
      </c>
      <c r="G242" s="81"/>
      <c r="H242" s="84"/>
      <c r="I242" s="93"/>
    </row>
    <row r="243" spans="1:9" ht="63" x14ac:dyDescent="0.25">
      <c r="A243" s="69">
        <v>96</v>
      </c>
      <c r="B243" s="75" t="str">
        <f>[1]Р_ЗПЛ_Т!B132</f>
        <v>Смена подводки, стояков ХГВ из труб водогазопроводных на  металлопластиковые на фитингах (резьбовых соединениях)</v>
      </c>
      <c r="C243" s="80"/>
      <c r="D243" s="74"/>
      <c r="E243" s="74"/>
      <c r="F243" s="76"/>
      <c r="G243" s="76"/>
      <c r="H243" s="78" t="s">
        <v>299</v>
      </c>
      <c r="I243" s="94" t="s">
        <v>300</v>
      </c>
    </row>
    <row r="244" spans="1:9" ht="18.75" x14ac:dyDescent="0.25">
      <c r="A244" s="71"/>
      <c r="B244" s="75" t="str">
        <f>[1]Р_ЗПЛ_Т!B133</f>
        <v>диаметром до 15 мм</v>
      </c>
      <c r="C244" s="80"/>
      <c r="D244" s="74"/>
      <c r="E244" s="74"/>
      <c r="F244" s="76">
        <v>20.252567447846442</v>
      </c>
      <c r="G244" s="25">
        <f>F244*1.2</f>
        <v>24.303080937415729</v>
      </c>
      <c r="H244" s="82"/>
      <c r="I244" s="95" t="s">
        <v>301</v>
      </c>
    </row>
    <row r="245" spans="1:9" x14ac:dyDescent="0.25">
      <c r="A245" s="71"/>
      <c r="B245" s="72" t="s">
        <v>302</v>
      </c>
      <c r="C245" s="80" t="s">
        <v>226</v>
      </c>
      <c r="D245" s="74"/>
      <c r="E245" s="74"/>
      <c r="F245" s="81">
        <v>1.2E-2</v>
      </c>
      <c r="G245" s="81"/>
      <c r="H245" s="82"/>
      <c r="I245" s="95"/>
    </row>
    <row r="246" spans="1:9" x14ac:dyDescent="0.25">
      <c r="A246" s="71"/>
      <c r="B246" s="72" t="s">
        <v>303</v>
      </c>
      <c r="C246" s="80" t="s">
        <v>226</v>
      </c>
      <c r="D246" s="74"/>
      <c r="E246" s="74"/>
      <c r="F246" s="81">
        <v>3.0000000000000001E-3</v>
      </c>
      <c r="G246" s="81"/>
      <c r="H246" s="82"/>
      <c r="I246" s="95"/>
    </row>
    <row r="247" spans="1:9" x14ac:dyDescent="0.25">
      <c r="A247" s="71"/>
      <c r="B247" s="72" t="s">
        <v>304</v>
      </c>
      <c r="C247" s="80" t="s">
        <v>49</v>
      </c>
      <c r="D247" s="74"/>
      <c r="E247" s="74"/>
      <c r="F247" s="81">
        <v>1</v>
      </c>
      <c r="G247" s="81"/>
      <c r="H247" s="82"/>
      <c r="I247" s="95"/>
    </row>
    <row r="248" spans="1:9" x14ac:dyDescent="0.25">
      <c r="A248" s="71"/>
      <c r="B248" s="72" t="s">
        <v>305</v>
      </c>
      <c r="C248" s="80" t="s">
        <v>85</v>
      </c>
      <c r="D248" s="74"/>
      <c r="E248" s="74"/>
      <c r="F248" s="81" t="s">
        <v>128</v>
      </c>
      <c r="G248" s="81"/>
      <c r="H248" s="82"/>
      <c r="I248" s="95"/>
    </row>
    <row r="249" spans="1:9" ht="18.75" x14ac:dyDescent="0.25">
      <c r="A249" s="71"/>
      <c r="B249" s="75" t="str">
        <f>[1]Р_ЗПЛ_Т!B134</f>
        <v>диаметром до 32 мм</v>
      </c>
      <c r="C249" s="80"/>
      <c r="D249" s="74"/>
      <c r="E249" s="74"/>
      <c r="F249" s="76">
        <v>21.19894910428787</v>
      </c>
      <c r="G249" s="25">
        <f>F249*1.2</f>
        <v>25.438738925145444</v>
      </c>
      <c r="H249" s="82"/>
      <c r="I249" s="95" t="s">
        <v>306</v>
      </c>
    </row>
    <row r="250" spans="1:9" x14ac:dyDescent="0.25">
      <c r="A250" s="71"/>
      <c r="B250" s="72" t="s">
        <v>302</v>
      </c>
      <c r="C250" s="80" t="s">
        <v>226</v>
      </c>
      <c r="D250" s="74"/>
      <c r="E250" s="74"/>
      <c r="F250" s="81">
        <v>2.7E-2</v>
      </c>
      <c r="G250" s="81"/>
      <c r="H250" s="82"/>
      <c r="I250" s="95"/>
    </row>
    <row r="251" spans="1:9" x14ac:dyDescent="0.25">
      <c r="A251" s="71"/>
      <c r="B251" s="72" t="s">
        <v>303</v>
      </c>
      <c r="C251" s="80" t="s">
        <v>226</v>
      </c>
      <c r="D251" s="74"/>
      <c r="E251" s="74"/>
      <c r="F251" s="81">
        <v>4.0000000000000001E-3</v>
      </c>
      <c r="G251" s="81"/>
      <c r="H251" s="82"/>
      <c r="I251" s="95"/>
    </row>
    <row r="252" spans="1:9" x14ac:dyDescent="0.25">
      <c r="A252" s="71"/>
      <c r="B252" s="72" t="s">
        <v>304</v>
      </c>
      <c r="C252" s="80" t="s">
        <v>49</v>
      </c>
      <c r="D252" s="74"/>
      <c r="E252" s="74"/>
      <c r="F252" s="81">
        <v>1</v>
      </c>
      <c r="G252" s="81"/>
      <c r="H252" s="82"/>
      <c r="I252" s="95"/>
    </row>
    <row r="253" spans="1:9" x14ac:dyDescent="0.25">
      <c r="A253" s="71"/>
      <c r="B253" s="72" t="s">
        <v>305</v>
      </c>
      <c r="C253" s="80" t="s">
        <v>85</v>
      </c>
      <c r="D253" s="74"/>
      <c r="E253" s="74"/>
      <c r="F253" s="81" t="s">
        <v>128</v>
      </c>
      <c r="G253" s="81"/>
      <c r="H253" s="82"/>
      <c r="I253" s="95"/>
    </row>
    <row r="254" spans="1:9" ht="18.75" x14ac:dyDescent="0.25">
      <c r="A254" s="71"/>
      <c r="B254" s="75" t="str">
        <f>[1]Р_ЗПЛ_Т!B135</f>
        <v>диаметром до 63 мм</v>
      </c>
      <c r="C254" s="80"/>
      <c r="D254" s="74"/>
      <c r="E254" s="74"/>
      <c r="F254" s="76">
        <v>23.659541411035555</v>
      </c>
      <c r="G254" s="25">
        <f>F254*1.2</f>
        <v>28.391449693242667</v>
      </c>
      <c r="H254" s="82"/>
      <c r="I254" s="95" t="s">
        <v>307</v>
      </c>
    </row>
    <row r="255" spans="1:9" x14ac:dyDescent="0.25">
      <c r="A255" s="71"/>
      <c r="B255" s="72" t="s">
        <v>302</v>
      </c>
      <c r="C255" s="80" t="s">
        <v>226</v>
      </c>
      <c r="D255" s="74"/>
      <c r="E255" s="74"/>
      <c r="F255" s="81">
        <v>4.7E-2</v>
      </c>
      <c r="G255" s="81"/>
      <c r="H255" s="82"/>
      <c r="I255" s="95"/>
    </row>
    <row r="256" spans="1:9" x14ac:dyDescent="0.25">
      <c r="A256" s="71"/>
      <c r="B256" s="72" t="s">
        <v>303</v>
      </c>
      <c r="C256" s="80" t="s">
        <v>226</v>
      </c>
      <c r="D256" s="74"/>
      <c r="E256" s="74"/>
      <c r="F256" s="81">
        <v>7.0000000000000001E-3</v>
      </c>
      <c r="G256" s="81"/>
      <c r="H256" s="82"/>
      <c r="I256" s="95"/>
    </row>
    <row r="257" spans="1:9" x14ac:dyDescent="0.25">
      <c r="A257" s="71"/>
      <c r="B257" s="72" t="s">
        <v>304</v>
      </c>
      <c r="C257" s="80" t="s">
        <v>49</v>
      </c>
      <c r="D257" s="74"/>
      <c r="E257" s="74"/>
      <c r="F257" s="81">
        <v>1</v>
      </c>
      <c r="G257" s="81"/>
      <c r="H257" s="82"/>
      <c r="I257" s="95"/>
    </row>
    <row r="258" spans="1:9" x14ac:dyDescent="0.25">
      <c r="A258" s="71"/>
      <c r="B258" s="72" t="s">
        <v>305</v>
      </c>
      <c r="C258" s="80" t="s">
        <v>85</v>
      </c>
      <c r="D258" s="74"/>
      <c r="E258" s="74"/>
      <c r="F258" s="81" t="s">
        <v>128</v>
      </c>
      <c r="G258" s="81"/>
      <c r="H258" s="82"/>
      <c r="I258" s="95"/>
    </row>
    <row r="259" spans="1:9" ht="18.75" x14ac:dyDescent="0.25">
      <c r="A259" s="71"/>
      <c r="B259" s="75" t="str">
        <f>[1]Р_ЗПЛ_Т!B136</f>
        <v>диаметром до 100 мм</v>
      </c>
      <c r="C259" s="80"/>
      <c r="D259" s="74"/>
      <c r="E259" s="74"/>
      <c r="F259" s="76">
        <v>26.877239042936395</v>
      </c>
      <c r="G259" s="25">
        <f>F259*1.2</f>
        <v>32.25268685152367</v>
      </c>
      <c r="H259" s="82"/>
      <c r="I259" s="95" t="s">
        <v>308</v>
      </c>
    </row>
    <row r="260" spans="1:9" x14ac:dyDescent="0.25">
      <c r="A260" s="71"/>
      <c r="B260" s="72" t="s">
        <v>302</v>
      </c>
      <c r="C260" s="80" t="s">
        <v>226</v>
      </c>
      <c r="D260" s="74"/>
      <c r="E260" s="74"/>
      <c r="F260" s="81">
        <v>5.3999999999999999E-2</v>
      </c>
      <c r="G260" s="81"/>
      <c r="H260" s="82"/>
      <c r="I260" s="95"/>
    </row>
    <row r="261" spans="1:9" x14ac:dyDescent="0.25">
      <c r="A261" s="71"/>
      <c r="B261" s="72" t="s">
        <v>303</v>
      </c>
      <c r="C261" s="80" t="s">
        <v>226</v>
      </c>
      <c r="D261" s="74"/>
      <c r="E261" s="74"/>
      <c r="F261" s="81">
        <v>8.9999999999999993E-3</v>
      </c>
      <c r="G261" s="81"/>
      <c r="H261" s="82"/>
      <c r="I261" s="95"/>
    </row>
    <row r="262" spans="1:9" x14ac:dyDescent="0.25">
      <c r="A262" s="71"/>
      <c r="B262" s="72" t="s">
        <v>304</v>
      </c>
      <c r="C262" s="80" t="s">
        <v>49</v>
      </c>
      <c r="D262" s="74"/>
      <c r="E262" s="74"/>
      <c r="F262" s="81">
        <v>1</v>
      </c>
      <c r="G262" s="81"/>
      <c r="H262" s="82"/>
      <c r="I262" s="95"/>
    </row>
    <row r="263" spans="1:9" x14ac:dyDescent="0.25">
      <c r="A263" s="73"/>
      <c r="B263" s="72" t="s">
        <v>305</v>
      </c>
      <c r="C263" s="80" t="s">
        <v>85</v>
      </c>
      <c r="D263" s="74"/>
      <c r="E263" s="74"/>
      <c r="F263" s="81" t="s">
        <v>128</v>
      </c>
      <c r="G263" s="81"/>
      <c r="H263" s="84"/>
      <c r="I263" s="95"/>
    </row>
    <row r="264" spans="1:9" ht="66" customHeight="1" x14ac:dyDescent="0.2">
      <c r="A264" s="70">
        <v>97</v>
      </c>
      <c r="B264" s="38" t="s">
        <v>309</v>
      </c>
      <c r="C264" s="33" t="s">
        <v>195</v>
      </c>
      <c r="D264" s="70"/>
      <c r="E264" s="70"/>
      <c r="F264" s="56">
        <v>75.191458679999997</v>
      </c>
      <c r="G264" s="56">
        <f>F264*1.2</f>
        <v>90.229750415999987</v>
      </c>
      <c r="H264" s="96" t="s">
        <v>310</v>
      </c>
      <c r="I264" s="90" t="s">
        <v>311</v>
      </c>
    </row>
    <row r="267" spans="1:9" x14ac:dyDescent="0.25">
      <c r="C267" s="97"/>
    </row>
    <row r="268" spans="1:9" x14ac:dyDescent="0.25">
      <c r="B268" s="98" t="s">
        <v>312</v>
      </c>
      <c r="H268" s="34" t="s">
        <v>313</v>
      </c>
    </row>
  </sheetData>
  <mergeCells count="148">
    <mergeCell ref="A243:A263"/>
    <mergeCell ref="H243:H263"/>
    <mergeCell ref="I244:I248"/>
    <mergeCell ref="I249:I253"/>
    <mergeCell ref="I254:I258"/>
    <mergeCell ref="I259:I263"/>
    <mergeCell ref="A226:A238"/>
    <mergeCell ref="C226:C238"/>
    <mergeCell ref="H226:H238"/>
    <mergeCell ref="A241:A242"/>
    <mergeCell ref="H241:H242"/>
    <mergeCell ref="I241:I242"/>
    <mergeCell ref="A205:A225"/>
    <mergeCell ref="H205:H225"/>
    <mergeCell ref="I205:I208"/>
    <mergeCell ref="I209:I214"/>
    <mergeCell ref="I215:I220"/>
    <mergeCell ref="I221:I225"/>
    <mergeCell ref="A192:A204"/>
    <mergeCell ref="H192:H204"/>
    <mergeCell ref="I193:I195"/>
    <mergeCell ref="I196:I198"/>
    <mergeCell ref="I199:I201"/>
    <mergeCell ref="I202:I204"/>
    <mergeCell ref="A177:A181"/>
    <mergeCell ref="H177:H181"/>
    <mergeCell ref="I177:I181"/>
    <mergeCell ref="A182:A191"/>
    <mergeCell ref="H182:H191"/>
    <mergeCell ref="I182:I186"/>
    <mergeCell ref="A164:A166"/>
    <mergeCell ref="H164:H166"/>
    <mergeCell ref="I164:I166"/>
    <mergeCell ref="A167:A170"/>
    <mergeCell ref="H167:H170"/>
    <mergeCell ref="I167:I170"/>
    <mergeCell ref="A155:A156"/>
    <mergeCell ref="H155:H156"/>
    <mergeCell ref="I155:I156"/>
    <mergeCell ref="A157:A162"/>
    <mergeCell ref="H157:H162"/>
    <mergeCell ref="I157:I162"/>
    <mergeCell ref="A150:A151"/>
    <mergeCell ref="H150:H151"/>
    <mergeCell ref="I150:I151"/>
    <mergeCell ref="A152:A154"/>
    <mergeCell ref="H152:H154"/>
    <mergeCell ref="I152:I154"/>
    <mergeCell ref="A141:A144"/>
    <mergeCell ref="H141:H144"/>
    <mergeCell ref="I141:I144"/>
    <mergeCell ref="A145:A147"/>
    <mergeCell ref="H145:H147"/>
    <mergeCell ref="I145:I147"/>
    <mergeCell ref="A137:A138"/>
    <mergeCell ref="H137:H138"/>
    <mergeCell ref="I137:I138"/>
    <mergeCell ref="A139:A140"/>
    <mergeCell ref="H139:H140"/>
    <mergeCell ref="I139:I140"/>
    <mergeCell ref="A133:A134"/>
    <mergeCell ref="H133:H134"/>
    <mergeCell ref="I133:I134"/>
    <mergeCell ref="A135:A136"/>
    <mergeCell ref="H135:H136"/>
    <mergeCell ref="I135:I136"/>
    <mergeCell ref="A129:A130"/>
    <mergeCell ref="H129:H130"/>
    <mergeCell ref="I129:I130"/>
    <mergeCell ref="A131:A132"/>
    <mergeCell ref="H131:H132"/>
    <mergeCell ref="I131:I132"/>
    <mergeCell ref="A121:A123"/>
    <mergeCell ref="H121:H123"/>
    <mergeCell ref="I121:I123"/>
    <mergeCell ref="A127:A128"/>
    <mergeCell ref="H127:H128"/>
    <mergeCell ref="I127:I128"/>
    <mergeCell ref="A113:A116"/>
    <mergeCell ref="H113:H116"/>
    <mergeCell ref="I113:I116"/>
    <mergeCell ref="A117:A119"/>
    <mergeCell ref="H117:H119"/>
    <mergeCell ref="I117:I119"/>
    <mergeCell ref="A107:A109"/>
    <mergeCell ref="H107:H109"/>
    <mergeCell ref="I107:I109"/>
    <mergeCell ref="A110:A111"/>
    <mergeCell ref="H110:H111"/>
    <mergeCell ref="I110:I111"/>
    <mergeCell ref="A101:A103"/>
    <mergeCell ref="H101:H103"/>
    <mergeCell ref="I101:I103"/>
    <mergeCell ref="A104:A106"/>
    <mergeCell ref="H104:H106"/>
    <mergeCell ref="I104:I106"/>
    <mergeCell ref="A92:A96"/>
    <mergeCell ref="H92:H96"/>
    <mergeCell ref="I92:I96"/>
    <mergeCell ref="A97:A100"/>
    <mergeCell ref="H97:H100"/>
    <mergeCell ref="I97:I100"/>
    <mergeCell ref="A82:A86"/>
    <mergeCell ref="H82:H86"/>
    <mergeCell ref="I82:I86"/>
    <mergeCell ref="A87:A91"/>
    <mergeCell ref="H87:H91"/>
    <mergeCell ref="I87:I91"/>
    <mergeCell ref="A75:A76"/>
    <mergeCell ref="H75:H76"/>
    <mergeCell ref="I75:I76"/>
    <mergeCell ref="A77:A81"/>
    <mergeCell ref="H77:H81"/>
    <mergeCell ref="I77:I81"/>
    <mergeCell ref="A68:A69"/>
    <mergeCell ref="H68:H69"/>
    <mergeCell ref="I68:I69"/>
    <mergeCell ref="A70:A72"/>
    <mergeCell ref="H70:H72"/>
    <mergeCell ref="I70:I72"/>
    <mergeCell ref="A58:A60"/>
    <mergeCell ref="H58:H60"/>
    <mergeCell ref="I58:I60"/>
    <mergeCell ref="A64:A67"/>
    <mergeCell ref="H64:H67"/>
    <mergeCell ref="I64:I67"/>
    <mergeCell ref="A52:A54"/>
    <mergeCell ref="H52:H54"/>
    <mergeCell ref="I52:I54"/>
    <mergeCell ref="A55:A57"/>
    <mergeCell ref="H55:H57"/>
    <mergeCell ref="I55:I57"/>
    <mergeCell ref="G14:G15"/>
    <mergeCell ref="H14:H15"/>
    <mergeCell ref="I14:I15"/>
    <mergeCell ref="A47:A49"/>
    <mergeCell ref="H47:H49"/>
    <mergeCell ref="I47:I49"/>
    <mergeCell ref="A7:H7"/>
    <mergeCell ref="A8:H8"/>
    <mergeCell ref="A9:H9"/>
    <mergeCell ref="A10:H10"/>
    <mergeCell ref="A14:A15"/>
    <mergeCell ref="B14:B15"/>
    <mergeCell ref="C14:C15"/>
    <mergeCell ref="D14:D15"/>
    <mergeCell ref="E14:E15"/>
    <mergeCell ref="F14:F15"/>
  </mergeCells>
  <printOptions horizontalCentered="1"/>
  <pageMargins left="0.39370078740157483" right="0.15748031496062992" top="0.35433070866141736" bottom="0.31496062992125984" header="0.51181102362204722" footer="0.15748031496062992"/>
  <pageSetup paperSize="9" scale="57" fitToHeight="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 01 июля_2016</vt:lpstr>
      <vt:lpstr>'прейс 01 июля_2016'!Заголовки_для_печати</vt:lpstr>
      <vt:lpstr>'прейс 01 июля_2016'!Область_печати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2024-10-16T07:18:26Z</dcterms:created>
  <dcterms:modified xsi:type="dcterms:W3CDTF">2024-10-16T07:19:59Z</dcterms:modified>
</cp:coreProperties>
</file>